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0" windowWidth="4095" windowHeight="8400" tabRatio="821" activeTab="2"/>
  </bookViews>
  <sheets>
    <sheet name="Cost_Estimate" sheetId="13" r:id="rId1"/>
    <sheet name="PVC" sheetId="14" r:id="rId2"/>
    <sheet name="Aimsun_All_Veh_Output_AMP" sheetId="11" r:id="rId3"/>
    <sheet name="Aimsun_Bus_Output_AMP" sheetId="17" r:id="rId4"/>
    <sheet name="Aimsun_All_Veh_Output_PMP" sheetId="12" r:id="rId5"/>
    <sheet name="Aimsun_Bus_Output_PMP" sheetId="18" r:id="rId6"/>
    <sheet name="ATC_Data" sheetId="16" r:id="rId7"/>
    <sheet name="Model Outputs" sheetId="4" r:id="rId8"/>
    <sheet name="Vehicle and Delay Conversion" sheetId="2" r:id="rId9"/>
    <sheet name="VoT calcs" sheetId="7" r:id="rId10"/>
    <sheet name="PVB" sheetId="15" r:id="rId11"/>
    <sheet name="BCR" sheetId="6" r:id="rId12"/>
    <sheet name="A1.3.4" sheetId="10" r:id="rId13"/>
    <sheet name="A1.3.5" sheetId="8" r:id="rId14"/>
    <sheet name="VOT growth" sheetId="3" r:id="rId15"/>
    <sheet name="Annual Parameters" sheetId="9" r:id="rId16"/>
  </sheets>
  <externalReferences>
    <externalReference r:id="rId17"/>
    <externalReference r:id="rId18"/>
  </externalReferences>
  <definedNames>
    <definedName name="Av_car_cost">'[1]Car speeds'!$BE$28:$BP$78</definedName>
    <definedName name="av_car_cost_nonwork">[1]A1.3.13!$B$27:$S$106</definedName>
    <definedName name="Av_car_cost_work">[1]A1.3.12!$B$27:$S$106</definedName>
    <definedName name="Electricity">[1]Electricity!$B$28:$M$118</definedName>
    <definedName name="GDP_deflator_to_RPI_conversion">'[1]Car speeds'!$AU$28:$AU$78</definedName>
    <definedName name="Init_Yr">'[1]Default Pars'!$N$12:$N$20</definedName>
    <definedName name="IT_MEC_Urban_A">[2]Calcs!$D$261:$I$261</definedName>
    <definedName name="IT_MEC_Urban_Other">[2]Calcs!$D$262:$I$262</definedName>
    <definedName name="Non_fuel_op_cost">[1]A1.3.15!$B$26:$E$51</definedName>
    <definedName name="Parameters">'Annual Parameters'!$B$29:$W$139</definedName>
    <definedName name="Price_Yr">'[1]Default Pars'!$M$12:$M$62</definedName>
    <definedName name="Repro_IT_MEC_Ave">[2]Calcs!$D$316:$I$316</definedName>
    <definedName name="Repro_IT_MEC_Con_A">[2]Calcs!$D$309:$I$309</definedName>
    <definedName name="Repro_IT_MEC_Con_Mway">[2]Calcs!$D$308:$I$308</definedName>
    <definedName name="Repro_IT_MEC_Con_Other">[2]Calcs!$D$310:$I$310</definedName>
    <definedName name="Repro_IT_MEC_Lon_A">[2]Calcs!$D$306:$I$306</definedName>
    <definedName name="Repro_IT_MEC_Lon_Mway">[2]Calcs!$D$305:$I$305</definedName>
    <definedName name="Repro_IT_MEC_Lon_Other">[2]Calcs!$D$307:$I$307</definedName>
    <definedName name="Repro_IT_MEC_Rural_A">[2]Calcs!$D$314:$I$314</definedName>
    <definedName name="Repro_IT_MEC_Rural_Mway">[2]Calcs!$D$313:$I$313</definedName>
    <definedName name="Repro_IT_MEC_Rural_Other">[2]Calcs!$D$315:$I$315</definedName>
    <definedName name="Repro_IT_MEC_Urban_A">[2]Calcs!$D$311:$I$311</definedName>
    <definedName name="Repro_IT_MEC_Urban_Other">[2]Calcs!$D$312:$I$312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6" i="17" l="1"/>
  <c r="F66" i="17"/>
  <c r="R65" i="17"/>
  <c r="P65" i="17"/>
  <c r="N65" i="17"/>
  <c r="H65" i="17"/>
  <c r="F65" i="17"/>
  <c r="D65" i="17"/>
  <c r="Q64" i="17"/>
  <c r="P64" i="17"/>
  <c r="N64" i="17"/>
  <c r="G64" i="17"/>
  <c r="F64" i="17"/>
  <c r="D64" i="17"/>
  <c r="P63" i="17"/>
  <c r="N63" i="17"/>
  <c r="F63" i="17"/>
  <c r="D63" i="17"/>
  <c r="P62" i="17"/>
  <c r="O62" i="17"/>
  <c r="N62" i="17"/>
  <c r="F62" i="17"/>
  <c r="E62" i="17"/>
  <c r="D62" i="17"/>
  <c r="P61" i="17"/>
  <c r="N61" i="17"/>
  <c r="F61" i="17"/>
  <c r="D61" i="17"/>
  <c r="P60" i="17"/>
  <c r="M60" i="17"/>
  <c r="F60" i="17"/>
  <c r="C60" i="17"/>
  <c r="R65" i="18"/>
  <c r="P65" i="18"/>
  <c r="N65" i="18"/>
  <c r="Q64" i="18"/>
  <c r="P64" i="18"/>
  <c r="N64" i="18"/>
  <c r="P63" i="18"/>
  <c r="N63" i="18"/>
  <c r="P62" i="18"/>
  <c r="O62" i="18"/>
  <c r="N62" i="18"/>
  <c r="P61" i="18"/>
  <c r="N61" i="18"/>
  <c r="P60" i="18"/>
  <c r="M60" i="18"/>
  <c r="H65" i="18"/>
  <c r="F65" i="18"/>
  <c r="D65" i="18"/>
  <c r="G64" i="18"/>
  <c r="F64" i="18"/>
  <c r="D64" i="18"/>
  <c r="F63" i="18"/>
  <c r="D63" i="18"/>
  <c r="F62" i="18"/>
  <c r="E62" i="18"/>
  <c r="D62" i="18"/>
  <c r="F61" i="18"/>
  <c r="D61" i="18"/>
  <c r="F60" i="18"/>
  <c r="C60" i="18"/>
  <c r="R47" i="18"/>
  <c r="Q47" i="18"/>
  <c r="P47" i="18"/>
  <c r="N47" i="18"/>
  <c r="R46" i="18"/>
  <c r="Q46" i="18"/>
  <c r="P46" i="18"/>
  <c r="O46" i="18"/>
  <c r="N46" i="18"/>
  <c r="M46" i="18"/>
  <c r="R45" i="18"/>
  <c r="Q45" i="18"/>
  <c r="P45" i="18"/>
  <c r="O45" i="18"/>
  <c r="N45" i="18"/>
  <c r="R44" i="18"/>
  <c r="Q44" i="18"/>
  <c r="P44" i="18"/>
  <c r="O44" i="18"/>
  <c r="N44" i="18"/>
  <c r="M44" i="18"/>
  <c r="P43" i="18"/>
  <c r="O43" i="18"/>
  <c r="N43" i="18"/>
  <c r="M43" i="18"/>
  <c r="Q42" i="18"/>
  <c r="P42" i="18"/>
  <c r="O42" i="18"/>
  <c r="N42" i="18"/>
  <c r="M42" i="18"/>
  <c r="S44" i="17"/>
  <c r="R47" i="17"/>
  <c r="Q47" i="17"/>
  <c r="P47" i="17"/>
  <c r="N47" i="17"/>
  <c r="R46" i="17"/>
  <c r="Q46" i="17"/>
  <c r="P46" i="17"/>
  <c r="O46" i="17"/>
  <c r="N46" i="17"/>
  <c r="R45" i="17"/>
  <c r="Q45" i="17"/>
  <c r="P45" i="17"/>
  <c r="O45" i="17"/>
  <c r="N45" i="17"/>
  <c r="R44" i="17"/>
  <c r="Q44" i="17"/>
  <c r="P44" i="17"/>
  <c r="O44" i="17"/>
  <c r="N44" i="17"/>
  <c r="M44" i="17"/>
  <c r="P43" i="17"/>
  <c r="O43" i="17"/>
  <c r="N43" i="17"/>
  <c r="M43" i="17"/>
  <c r="Q42" i="17"/>
  <c r="P42" i="17"/>
  <c r="O42" i="17"/>
  <c r="N42" i="17"/>
  <c r="M42" i="17"/>
  <c r="S44" i="18" l="1"/>
  <c r="S46" i="18"/>
  <c r="E28" i="18"/>
  <c r="C28" i="18"/>
  <c r="H27" i="18"/>
  <c r="E27" i="18"/>
  <c r="C27" i="18"/>
  <c r="I44" i="18" s="1"/>
  <c r="E26" i="18"/>
  <c r="C26" i="18"/>
  <c r="I45" i="18" s="1"/>
  <c r="C45" i="18" s="1"/>
  <c r="M45" i="18" s="1"/>
  <c r="E25" i="18"/>
  <c r="C25" i="18"/>
  <c r="E24" i="18"/>
  <c r="C24" i="18"/>
  <c r="I47" i="18" s="1"/>
  <c r="E23" i="18"/>
  <c r="C23" i="18"/>
  <c r="E22" i="18"/>
  <c r="C22" i="18"/>
  <c r="E21" i="18"/>
  <c r="C21" i="18"/>
  <c r="J44" i="18"/>
  <c r="H42" i="18"/>
  <c r="R42" i="18" s="1"/>
  <c r="G38" i="18"/>
  <c r="E38" i="18"/>
  <c r="C38" i="18"/>
  <c r="H36" i="18"/>
  <c r="G36" i="18"/>
  <c r="C36" i="18"/>
  <c r="H35" i="18"/>
  <c r="G35" i="18"/>
  <c r="C35" i="18"/>
  <c r="H34" i="18"/>
  <c r="G34" i="18"/>
  <c r="E34" i="18"/>
  <c r="H33" i="18"/>
  <c r="G33" i="18"/>
  <c r="E33" i="18"/>
  <c r="D33" i="18"/>
  <c r="H48" i="18"/>
  <c r="F15" i="18"/>
  <c r="E15" i="18"/>
  <c r="D15" i="18"/>
  <c r="C15" i="18"/>
  <c r="R14" i="18"/>
  <c r="Q14" i="18"/>
  <c r="W14" i="18" s="1"/>
  <c r="P14" i="18"/>
  <c r="V14" i="18" s="1"/>
  <c r="O14" i="18"/>
  <c r="N14" i="18"/>
  <c r="M14" i="18"/>
  <c r="H14" i="18"/>
  <c r="G14" i="18"/>
  <c r="W13" i="18"/>
  <c r="R13" i="18"/>
  <c r="X13" i="18" s="1"/>
  <c r="Q13" i="18"/>
  <c r="P13" i="18"/>
  <c r="V13" i="18" s="1"/>
  <c r="O13" i="18"/>
  <c r="N13" i="18"/>
  <c r="M13" i="18"/>
  <c r="H13" i="18"/>
  <c r="G13" i="18"/>
  <c r="R12" i="18"/>
  <c r="X12" i="18" s="1"/>
  <c r="Z12" i="18" s="1"/>
  <c r="Q12" i="18"/>
  <c r="W12" i="18" s="1"/>
  <c r="P12" i="18"/>
  <c r="V12" i="18" s="1"/>
  <c r="O12" i="18"/>
  <c r="S12" i="18" s="1"/>
  <c r="N12" i="18"/>
  <c r="M12" i="18"/>
  <c r="H12" i="18"/>
  <c r="G12" i="18"/>
  <c r="X11" i="18"/>
  <c r="R11" i="18"/>
  <c r="F25" i="18" s="1"/>
  <c r="Q11" i="18"/>
  <c r="W11" i="18" s="1"/>
  <c r="P11" i="18"/>
  <c r="V11" i="18" s="1"/>
  <c r="O11" i="18"/>
  <c r="N11" i="18"/>
  <c r="M11" i="18"/>
  <c r="H11" i="18"/>
  <c r="G11" i="18"/>
  <c r="R10" i="18"/>
  <c r="X10" i="18" s="1"/>
  <c r="Z10" i="18" s="1"/>
  <c r="Q10" i="18"/>
  <c r="W10" i="18" s="1"/>
  <c r="P10" i="18"/>
  <c r="V10" i="18" s="1"/>
  <c r="O10" i="18"/>
  <c r="N10" i="18"/>
  <c r="M10" i="18"/>
  <c r="H10" i="18"/>
  <c r="G10" i="18"/>
  <c r="R9" i="18"/>
  <c r="X9" i="18" s="1"/>
  <c r="Q9" i="18"/>
  <c r="W9" i="18" s="1"/>
  <c r="P9" i="18"/>
  <c r="V9" i="18" s="1"/>
  <c r="O9" i="18"/>
  <c r="N9" i="18"/>
  <c r="M9" i="18"/>
  <c r="H9" i="18"/>
  <c r="G9" i="18"/>
  <c r="X8" i="18"/>
  <c r="W8" i="18"/>
  <c r="R8" i="18"/>
  <c r="Q8" i="18"/>
  <c r="P8" i="18"/>
  <c r="V8" i="18" s="1"/>
  <c r="O8" i="18"/>
  <c r="N8" i="18"/>
  <c r="M8" i="18"/>
  <c r="H8" i="18"/>
  <c r="G8" i="18"/>
  <c r="R7" i="18"/>
  <c r="Q7" i="18"/>
  <c r="W7" i="18" s="1"/>
  <c r="P7" i="18"/>
  <c r="V7" i="18" s="1"/>
  <c r="O7" i="18"/>
  <c r="N7" i="18"/>
  <c r="M7" i="18"/>
  <c r="H7" i="18"/>
  <c r="G7" i="18"/>
  <c r="B1" i="18"/>
  <c r="J44" i="17"/>
  <c r="C24" i="17"/>
  <c r="E28" i="17"/>
  <c r="E27" i="17"/>
  <c r="E26" i="17"/>
  <c r="E25" i="17"/>
  <c r="E24" i="17"/>
  <c r="E23" i="17"/>
  <c r="E22" i="17"/>
  <c r="E21" i="17"/>
  <c r="C28" i="17"/>
  <c r="I43" i="17" s="1"/>
  <c r="C27" i="17"/>
  <c r="I44" i="17" s="1"/>
  <c r="C26" i="17"/>
  <c r="I45" i="17" s="1"/>
  <c r="C45" i="17" s="1"/>
  <c r="C25" i="17"/>
  <c r="C23" i="17"/>
  <c r="H42" i="17" s="1"/>
  <c r="R42" i="17" s="1"/>
  <c r="C22" i="17"/>
  <c r="D22" i="17" s="1"/>
  <c r="C21" i="17"/>
  <c r="I42" i="17" s="1"/>
  <c r="F54" i="17"/>
  <c r="I46" i="17"/>
  <c r="C46" i="17" s="1"/>
  <c r="M46" i="17" s="1"/>
  <c r="G38" i="17"/>
  <c r="E38" i="17"/>
  <c r="C38" i="17"/>
  <c r="H36" i="17"/>
  <c r="G36" i="17"/>
  <c r="C36" i="17"/>
  <c r="H35" i="17"/>
  <c r="G35" i="17"/>
  <c r="C35" i="17"/>
  <c r="H34" i="17"/>
  <c r="G34" i="17"/>
  <c r="E34" i="17"/>
  <c r="H33" i="17"/>
  <c r="G33" i="17"/>
  <c r="E33" i="17"/>
  <c r="D33" i="17"/>
  <c r="G28" i="17"/>
  <c r="G25" i="17"/>
  <c r="F15" i="17"/>
  <c r="E15" i="17"/>
  <c r="D15" i="17"/>
  <c r="C15" i="17"/>
  <c r="W14" i="17"/>
  <c r="V14" i="17"/>
  <c r="R14" i="17"/>
  <c r="Q14" i="17"/>
  <c r="P14" i="17"/>
  <c r="D28" i="17" s="1"/>
  <c r="O14" i="17"/>
  <c r="U14" i="17" s="1"/>
  <c r="N14" i="17"/>
  <c r="M14" i="17"/>
  <c r="H14" i="17"/>
  <c r="G14" i="17"/>
  <c r="R13" i="17"/>
  <c r="Q13" i="17"/>
  <c r="P13" i="17"/>
  <c r="V13" i="17" s="1"/>
  <c r="O13" i="17"/>
  <c r="N13" i="17"/>
  <c r="M13" i="17"/>
  <c r="H13" i="17"/>
  <c r="G13" i="17"/>
  <c r="V12" i="17"/>
  <c r="R12" i="17"/>
  <c r="Q12" i="17"/>
  <c r="W12" i="17" s="1"/>
  <c r="P12" i="17"/>
  <c r="O12" i="17"/>
  <c r="U12" i="17" s="1"/>
  <c r="N12" i="17"/>
  <c r="M12" i="17"/>
  <c r="H12" i="17"/>
  <c r="G12" i="17"/>
  <c r="R11" i="17"/>
  <c r="F25" i="17" s="1"/>
  <c r="Q11" i="17"/>
  <c r="P11" i="17"/>
  <c r="D25" i="17" s="1"/>
  <c r="O11" i="17"/>
  <c r="N11" i="17"/>
  <c r="M11" i="17"/>
  <c r="H11" i="17"/>
  <c r="G11" i="17"/>
  <c r="W10" i="17"/>
  <c r="V10" i="17"/>
  <c r="R10" i="17"/>
  <c r="Q10" i="17"/>
  <c r="P10" i="17"/>
  <c r="O10" i="17"/>
  <c r="U10" i="17" s="1"/>
  <c r="N10" i="17"/>
  <c r="M10" i="17"/>
  <c r="H10" i="17"/>
  <c r="G10" i="17"/>
  <c r="R9" i="17"/>
  <c r="Q9" i="17"/>
  <c r="P9" i="17"/>
  <c r="D23" i="17" s="1"/>
  <c r="H56" i="17" s="1"/>
  <c r="H64" i="17" s="1"/>
  <c r="O9" i="17"/>
  <c r="U9" i="17" s="1"/>
  <c r="N9" i="17"/>
  <c r="M9" i="17"/>
  <c r="H9" i="17"/>
  <c r="G9" i="17"/>
  <c r="V8" i="17"/>
  <c r="R8" i="17"/>
  <c r="Q8" i="17"/>
  <c r="W8" i="17" s="1"/>
  <c r="P8" i="17"/>
  <c r="O8" i="17"/>
  <c r="U8" i="17" s="1"/>
  <c r="N8" i="17"/>
  <c r="M8" i="17"/>
  <c r="H8" i="17"/>
  <c r="G8" i="17"/>
  <c r="V7" i="17"/>
  <c r="R7" i="17"/>
  <c r="Q7" i="17"/>
  <c r="P7" i="17"/>
  <c r="O7" i="17"/>
  <c r="N7" i="17"/>
  <c r="M7" i="17"/>
  <c r="H7" i="17"/>
  <c r="G7" i="17"/>
  <c r="B1" i="17"/>
  <c r="S45" i="18" l="1"/>
  <c r="M45" i="17"/>
  <c r="J45" i="17"/>
  <c r="F26" i="17"/>
  <c r="E29" i="17"/>
  <c r="G27" i="17"/>
  <c r="G24" i="18"/>
  <c r="G26" i="18"/>
  <c r="D28" i="18"/>
  <c r="H15" i="17"/>
  <c r="P15" i="17"/>
  <c r="J15" i="17" s="1"/>
  <c r="S9" i="17"/>
  <c r="G23" i="17"/>
  <c r="M64" i="17"/>
  <c r="C64" i="17"/>
  <c r="S46" i="17"/>
  <c r="S42" i="17"/>
  <c r="R15" i="18"/>
  <c r="L15" i="18" s="1"/>
  <c r="S10" i="18"/>
  <c r="T10" i="18"/>
  <c r="T14" i="18"/>
  <c r="S7" i="17"/>
  <c r="F24" i="17"/>
  <c r="Q57" i="17" s="1"/>
  <c r="Q65" i="17" s="1"/>
  <c r="D26" i="17"/>
  <c r="G55" i="17" s="1"/>
  <c r="G63" i="17" s="1"/>
  <c r="F28" i="17"/>
  <c r="D16" i="17"/>
  <c r="G21" i="17"/>
  <c r="D24" i="17"/>
  <c r="G57" i="17" s="1"/>
  <c r="G65" i="17" s="1"/>
  <c r="F22" i="18"/>
  <c r="X14" i="18"/>
  <c r="Z14" i="18" s="1"/>
  <c r="I43" i="18"/>
  <c r="G43" i="18" s="1"/>
  <c r="Q43" i="18" s="1"/>
  <c r="G21" i="18"/>
  <c r="G23" i="18"/>
  <c r="D25" i="18"/>
  <c r="H25" i="18" s="1"/>
  <c r="Q48" i="18"/>
  <c r="G15" i="18"/>
  <c r="F21" i="18"/>
  <c r="F23" i="18"/>
  <c r="F28" i="18"/>
  <c r="H28" i="18" s="1"/>
  <c r="S42" i="18"/>
  <c r="W15" i="18"/>
  <c r="W16" i="18" s="1"/>
  <c r="H15" i="18"/>
  <c r="X7" i="18"/>
  <c r="X15" i="18" s="1"/>
  <c r="X16" i="18" s="1"/>
  <c r="S14" i="18"/>
  <c r="D16" i="18"/>
  <c r="C29" i="18"/>
  <c r="G22" i="18"/>
  <c r="D24" i="18"/>
  <c r="Z8" i="18"/>
  <c r="T12" i="18"/>
  <c r="S8" i="18"/>
  <c r="T8" i="18"/>
  <c r="D21" i="18"/>
  <c r="D22" i="18"/>
  <c r="H22" i="18" s="1"/>
  <c r="D23" i="18"/>
  <c r="H56" i="18" s="1"/>
  <c r="H64" i="18" s="1"/>
  <c r="D26" i="18"/>
  <c r="C53" i="17"/>
  <c r="C61" i="17" s="1"/>
  <c r="G53" i="17"/>
  <c r="V9" i="17"/>
  <c r="V11" i="17"/>
  <c r="E53" i="17"/>
  <c r="E61" i="17" s="1"/>
  <c r="F23" i="17"/>
  <c r="G24" i="17"/>
  <c r="G29" i="17" s="1"/>
  <c r="I47" i="17"/>
  <c r="G54" i="17"/>
  <c r="G62" i="17" s="1"/>
  <c r="Y8" i="17"/>
  <c r="Y10" i="17"/>
  <c r="Y12" i="17"/>
  <c r="Y14" i="17"/>
  <c r="H48" i="17"/>
  <c r="G15" i="17"/>
  <c r="O15" i="17"/>
  <c r="I15" i="17" s="1"/>
  <c r="U7" i="17"/>
  <c r="S11" i="17"/>
  <c r="U11" i="17"/>
  <c r="S12" i="17"/>
  <c r="S13" i="17"/>
  <c r="U13" i="17"/>
  <c r="S14" i="17"/>
  <c r="C16" i="17"/>
  <c r="G22" i="17"/>
  <c r="G26" i="17"/>
  <c r="G48" i="17"/>
  <c r="V15" i="17"/>
  <c r="V16" i="17" s="1"/>
  <c r="G25" i="18"/>
  <c r="G28" i="18"/>
  <c r="Q53" i="18"/>
  <c r="C48" i="18"/>
  <c r="F24" i="18"/>
  <c r="F26" i="18"/>
  <c r="E29" i="18"/>
  <c r="G27" i="18"/>
  <c r="Q57" i="18"/>
  <c r="Q65" i="18" s="1"/>
  <c r="T7" i="18"/>
  <c r="R56" i="18"/>
  <c r="R64" i="18" s="1"/>
  <c r="Z9" i="18"/>
  <c r="T11" i="18"/>
  <c r="P54" i="18"/>
  <c r="P66" i="18" s="1"/>
  <c r="R54" i="18"/>
  <c r="R62" i="18" s="1"/>
  <c r="Z13" i="18"/>
  <c r="C16" i="18"/>
  <c r="J45" i="18"/>
  <c r="O53" i="18"/>
  <c r="O61" i="18" s="1"/>
  <c r="H43" i="18"/>
  <c r="R43" i="18" s="1"/>
  <c r="J42" i="18"/>
  <c r="V15" i="18"/>
  <c r="V16" i="18" s="1"/>
  <c r="O52" i="18"/>
  <c r="O60" i="18" s="1"/>
  <c r="N52" i="18"/>
  <c r="N60" i="18" s="1"/>
  <c r="R52" i="18"/>
  <c r="R60" i="18" s="1"/>
  <c r="T9" i="18"/>
  <c r="Z11" i="18"/>
  <c r="T13" i="18"/>
  <c r="P15" i="18"/>
  <c r="J15" i="18" s="1"/>
  <c r="N15" i="18" s="1"/>
  <c r="Q52" i="18"/>
  <c r="Q60" i="18" s="1"/>
  <c r="Q54" i="18"/>
  <c r="Q62" i="18" s="1"/>
  <c r="U7" i="18"/>
  <c r="Y7" i="18" s="1"/>
  <c r="U8" i="18"/>
  <c r="Y8" i="18" s="1"/>
  <c r="U9" i="18"/>
  <c r="Y9" i="18" s="1"/>
  <c r="U10" i="18"/>
  <c r="Y10" i="18" s="1"/>
  <c r="U11" i="18"/>
  <c r="Y11" i="18" s="1"/>
  <c r="U12" i="18"/>
  <c r="Y12" i="18" s="1"/>
  <c r="U13" i="18"/>
  <c r="Y13" i="18" s="1"/>
  <c r="U14" i="18"/>
  <c r="Y14" i="18" s="1"/>
  <c r="Q15" i="18"/>
  <c r="I42" i="18"/>
  <c r="S7" i="18"/>
  <c r="S9" i="18"/>
  <c r="S11" i="18"/>
  <c r="S13" i="18"/>
  <c r="O15" i="18"/>
  <c r="J46" i="17"/>
  <c r="O56" i="17"/>
  <c r="O64" i="17" s="1"/>
  <c r="M57" i="17"/>
  <c r="P54" i="17"/>
  <c r="M54" i="17"/>
  <c r="M62" i="17" s="1"/>
  <c r="H27" i="17"/>
  <c r="X10" i="17"/>
  <c r="Z10" i="17" s="1"/>
  <c r="T10" i="17"/>
  <c r="S8" i="17"/>
  <c r="S10" i="17"/>
  <c r="G43" i="17"/>
  <c r="Q43" i="17" s="1"/>
  <c r="H54" i="17"/>
  <c r="H62" i="17" s="1"/>
  <c r="M56" i="17"/>
  <c r="C29" i="17"/>
  <c r="C48" i="17"/>
  <c r="D21" i="17"/>
  <c r="X12" i="17"/>
  <c r="Z12" i="17" s="1"/>
  <c r="T12" i="17"/>
  <c r="H53" i="17"/>
  <c r="F21" i="17"/>
  <c r="X7" i="17"/>
  <c r="T7" i="17"/>
  <c r="W7" i="17"/>
  <c r="X9" i="17"/>
  <c r="T9" i="17"/>
  <c r="W9" i="17"/>
  <c r="Y9" i="17" s="1"/>
  <c r="X11" i="17"/>
  <c r="Z11" i="17" s="1"/>
  <c r="T11" i="17"/>
  <c r="W11" i="17"/>
  <c r="X13" i="17"/>
  <c r="Z13" i="17" s="1"/>
  <c r="T13" i="17"/>
  <c r="W13" i="17"/>
  <c r="Q15" i="17"/>
  <c r="C55" i="17"/>
  <c r="F22" i="17"/>
  <c r="H22" i="17" s="1"/>
  <c r="X8" i="17"/>
  <c r="Z8" i="17" s="1"/>
  <c r="T8" i="17"/>
  <c r="E56" i="17"/>
  <c r="E64" i="17" s="1"/>
  <c r="C56" i="17"/>
  <c r="C54" i="17"/>
  <c r="C62" i="17" s="1"/>
  <c r="X14" i="17"/>
  <c r="Z14" i="17" s="1"/>
  <c r="T14" i="17"/>
  <c r="R15" i="17"/>
  <c r="L15" i="17" s="1"/>
  <c r="H25" i="17"/>
  <c r="C18" i="4"/>
  <c r="C16" i="4"/>
  <c r="I64" i="17" l="1"/>
  <c r="E57" i="17"/>
  <c r="E55" i="17"/>
  <c r="E63" i="17" s="1"/>
  <c r="Q48" i="17"/>
  <c r="G61" i="17"/>
  <c r="H24" i="17"/>
  <c r="S43" i="18"/>
  <c r="H61" i="18"/>
  <c r="H26" i="18"/>
  <c r="Q61" i="18"/>
  <c r="Q66" i="18" s="1"/>
  <c r="G61" i="18"/>
  <c r="I62" i="17"/>
  <c r="Y11" i="17"/>
  <c r="O57" i="17"/>
  <c r="R53" i="18"/>
  <c r="R61" i="18" s="1"/>
  <c r="R66" i="18" s="1"/>
  <c r="H24" i="18"/>
  <c r="N15" i="17"/>
  <c r="Y13" i="17"/>
  <c r="Z9" i="17"/>
  <c r="H55" i="17"/>
  <c r="H63" i="17" s="1"/>
  <c r="S15" i="17"/>
  <c r="M53" i="18"/>
  <c r="M61" i="18" s="1"/>
  <c r="C57" i="17"/>
  <c r="M63" i="17"/>
  <c r="S45" i="17"/>
  <c r="C63" i="17"/>
  <c r="I63" i="17" s="1"/>
  <c r="W17" i="18"/>
  <c r="D29" i="18"/>
  <c r="R55" i="18"/>
  <c r="R63" i="18" s="1"/>
  <c r="G29" i="18"/>
  <c r="H23" i="18"/>
  <c r="R48" i="18"/>
  <c r="Y15" i="18"/>
  <c r="Z7" i="18"/>
  <c r="Z15" i="18" s="1"/>
  <c r="O55" i="18"/>
  <c r="O63" i="18" s="1"/>
  <c r="F29" i="18"/>
  <c r="H29" i="18" s="1"/>
  <c r="H21" i="18"/>
  <c r="D29" i="17"/>
  <c r="U15" i="17"/>
  <c r="U16" i="17" s="1"/>
  <c r="U17" i="17" s="1"/>
  <c r="S60" i="18"/>
  <c r="I48" i="18"/>
  <c r="C47" i="18"/>
  <c r="M47" i="18" s="1"/>
  <c r="Q55" i="18"/>
  <c r="Q63" i="18" s="1"/>
  <c r="H49" i="18"/>
  <c r="E53" i="18"/>
  <c r="E61" i="18" s="1"/>
  <c r="C53" i="18"/>
  <c r="C61" i="18" s="1"/>
  <c r="H53" i="18"/>
  <c r="G53" i="18"/>
  <c r="K15" i="18"/>
  <c r="O56" i="18"/>
  <c r="O64" i="18" s="1"/>
  <c r="M56" i="18"/>
  <c r="M64" i="18" s="1"/>
  <c r="M55" i="18"/>
  <c r="M63" i="18" s="1"/>
  <c r="T15" i="18"/>
  <c r="O57" i="18"/>
  <c r="M57" i="18"/>
  <c r="G49" i="18"/>
  <c r="J43" i="18"/>
  <c r="E56" i="18"/>
  <c r="E64" i="18" s="1"/>
  <c r="C56" i="18"/>
  <c r="C64" i="18" s="1"/>
  <c r="I64" i="18" s="1"/>
  <c r="I15" i="18"/>
  <c r="E55" i="18"/>
  <c r="E63" i="18" s="1"/>
  <c r="C55" i="18"/>
  <c r="C63" i="18" s="1"/>
  <c r="H55" i="18"/>
  <c r="H63" i="18" s="1"/>
  <c r="G55" i="18"/>
  <c r="G63" i="18" s="1"/>
  <c r="U15" i="18"/>
  <c r="U16" i="18" s="1"/>
  <c r="E52" i="18"/>
  <c r="E60" i="18" s="1"/>
  <c r="D52" i="18"/>
  <c r="D60" i="18" s="1"/>
  <c r="H52" i="18"/>
  <c r="H60" i="18" s="1"/>
  <c r="G52" i="18"/>
  <c r="G60" i="18" s="1"/>
  <c r="Z16" i="18"/>
  <c r="S15" i="18"/>
  <c r="J46" i="18"/>
  <c r="G57" i="18"/>
  <c r="G65" i="18" s="1"/>
  <c r="E57" i="18"/>
  <c r="C57" i="18"/>
  <c r="F54" i="18"/>
  <c r="C54" i="18"/>
  <c r="C62" i="18" s="1"/>
  <c r="H54" i="18"/>
  <c r="H62" i="18" s="1"/>
  <c r="G54" i="18"/>
  <c r="G62" i="18" s="1"/>
  <c r="M54" i="18"/>
  <c r="M62" i="18" s="1"/>
  <c r="T15" i="17"/>
  <c r="E52" i="17"/>
  <c r="E60" i="17" s="1"/>
  <c r="D52" i="17"/>
  <c r="D60" i="17" s="1"/>
  <c r="G52" i="17"/>
  <c r="G60" i="17" s="1"/>
  <c r="G66" i="17" s="1"/>
  <c r="H52" i="17"/>
  <c r="H60" i="17" s="1"/>
  <c r="I48" i="17"/>
  <c r="O53" i="17"/>
  <c r="O61" i="17" s="1"/>
  <c r="M53" i="17"/>
  <c r="M61" i="17" s="1"/>
  <c r="R53" i="17"/>
  <c r="H28" i="17"/>
  <c r="Q53" i="17"/>
  <c r="Q61" i="17" s="1"/>
  <c r="K15" i="17"/>
  <c r="M15" i="17" s="1"/>
  <c r="F29" i="17"/>
  <c r="X15" i="17"/>
  <c r="X16" i="17" s="1"/>
  <c r="Z7" i="17"/>
  <c r="Z15" i="17" s="1"/>
  <c r="O55" i="17"/>
  <c r="O63" i="17" s="1"/>
  <c r="M55" i="17"/>
  <c r="R55" i="17"/>
  <c r="R63" i="17" s="1"/>
  <c r="Q55" i="17"/>
  <c r="Q63" i="17" s="1"/>
  <c r="H26" i="17"/>
  <c r="R56" i="17"/>
  <c r="R64" i="17" s="1"/>
  <c r="S64" i="17" s="1"/>
  <c r="H23" i="17"/>
  <c r="Q54" i="17"/>
  <c r="Q62" i="17" s="1"/>
  <c r="S62" i="17" s="1"/>
  <c r="W15" i="17"/>
  <c r="W16" i="17" s="1"/>
  <c r="Y7" i="17"/>
  <c r="O52" i="17"/>
  <c r="O60" i="17" s="1"/>
  <c r="N52" i="17"/>
  <c r="N60" i="17" s="1"/>
  <c r="H21" i="17"/>
  <c r="R52" i="17"/>
  <c r="R60" i="17" s="1"/>
  <c r="Q52" i="17"/>
  <c r="Q60" i="17" s="1"/>
  <c r="R54" i="17"/>
  <c r="R62" i="17" s="1"/>
  <c r="H43" i="17"/>
  <c r="K14" i="16"/>
  <c r="K18" i="16"/>
  <c r="K30" i="16"/>
  <c r="K10" i="16"/>
  <c r="D32" i="16"/>
  <c r="K22" i="16"/>
  <c r="K26" i="16"/>
  <c r="E33" i="16"/>
  <c r="K9" i="16"/>
  <c r="K13" i="16"/>
  <c r="K17" i="16"/>
  <c r="K21" i="16"/>
  <c r="K25" i="16"/>
  <c r="K29" i="16"/>
  <c r="J7" i="16"/>
  <c r="N7" i="16" s="1"/>
  <c r="J8" i="16"/>
  <c r="N8" i="16" s="1"/>
  <c r="J10" i="16"/>
  <c r="N10" i="16" s="1"/>
  <c r="J11" i="16"/>
  <c r="N11" i="16" s="1"/>
  <c r="J12" i="16"/>
  <c r="N12" i="16" s="1"/>
  <c r="J14" i="16"/>
  <c r="N14" i="16" s="1"/>
  <c r="J15" i="16"/>
  <c r="J16" i="16"/>
  <c r="N16" i="16" s="1"/>
  <c r="J18" i="16"/>
  <c r="N18" i="16" s="1"/>
  <c r="J19" i="16"/>
  <c r="N19" i="16" s="1"/>
  <c r="J20" i="16"/>
  <c r="N20" i="16" s="1"/>
  <c r="J22" i="16"/>
  <c r="N22" i="16" s="1"/>
  <c r="J23" i="16"/>
  <c r="N23" i="16" s="1"/>
  <c r="J24" i="16"/>
  <c r="N24" i="16" s="1"/>
  <c r="G33" i="16"/>
  <c r="J26" i="16"/>
  <c r="N26" i="16" s="1"/>
  <c r="J27" i="16"/>
  <c r="N27" i="16" s="1"/>
  <c r="J28" i="16"/>
  <c r="N28" i="16" s="1"/>
  <c r="J30" i="16"/>
  <c r="N30" i="16" s="1"/>
  <c r="K7" i="16"/>
  <c r="K11" i="16"/>
  <c r="K15" i="16"/>
  <c r="G32" i="16"/>
  <c r="K19" i="16"/>
  <c r="K23" i="16"/>
  <c r="D33" i="16"/>
  <c r="K27" i="16"/>
  <c r="N15" i="16"/>
  <c r="K8" i="16"/>
  <c r="K20" i="16"/>
  <c r="E32" i="16"/>
  <c r="F32" i="16"/>
  <c r="F33" i="16"/>
  <c r="K24" i="16"/>
  <c r="J9" i="16"/>
  <c r="N9" i="16" s="1"/>
  <c r="J13" i="16"/>
  <c r="N13" i="16" s="1"/>
  <c r="J17" i="16"/>
  <c r="N17" i="16" s="1"/>
  <c r="J21" i="16"/>
  <c r="N21" i="16" s="1"/>
  <c r="J25" i="16"/>
  <c r="N25" i="16" s="1"/>
  <c r="J29" i="16"/>
  <c r="N29" i="16" s="1"/>
  <c r="C32" i="16"/>
  <c r="C33" i="16"/>
  <c r="K12" i="16"/>
  <c r="K16" i="16"/>
  <c r="K28" i="16"/>
  <c r="C19" i="14"/>
  <c r="C20" i="14" s="1"/>
  <c r="C21" i="14" s="1"/>
  <c r="I60" i="17" l="1"/>
  <c r="J43" i="17"/>
  <c r="R43" i="17"/>
  <c r="S60" i="17"/>
  <c r="S63" i="17"/>
  <c r="Q66" i="17"/>
  <c r="M65" i="18"/>
  <c r="M66" i="18" s="1"/>
  <c r="C65" i="18"/>
  <c r="Y15" i="17"/>
  <c r="H29" i="17"/>
  <c r="S63" i="18"/>
  <c r="M48" i="18"/>
  <c r="S61" i="18"/>
  <c r="F66" i="18"/>
  <c r="Z16" i="17"/>
  <c r="G66" i="18"/>
  <c r="E47" i="18"/>
  <c r="O47" i="18" s="1"/>
  <c r="S64" i="18"/>
  <c r="C49" i="18"/>
  <c r="I61" i="18"/>
  <c r="H66" i="18"/>
  <c r="I63" i="18"/>
  <c r="M15" i="18"/>
  <c r="S62" i="18"/>
  <c r="I60" i="18"/>
  <c r="C66" i="18"/>
  <c r="U17" i="18"/>
  <c r="Y17" i="18" s="1"/>
  <c r="Y16" i="18"/>
  <c r="E48" i="18"/>
  <c r="J48" i="18" s="1"/>
  <c r="I62" i="18"/>
  <c r="H49" i="17"/>
  <c r="J42" i="17"/>
  <c r="G49" i="17"/>
  <c r="W17" i="17"/>
  <c r="Y16" i="17"/>
  <c r="J32" i="16"/>
  <c r="J33" i="16"/>
  <c r="C22" i="14"/>
  <c r="C23" i="14" s="1"/>
  <c r="E49" i="18" l="1"/>
  <c r="I49" i="18" s="1"/>
  <c r="J47" i="18"/>
  <c r="H61" i="17"/>
  <c r="R61" i="17"/>
  <c r="R48" i="17"/>
  <c r="S43" i="17"/>
  <c r="O48" i="18"/>
  <c r="O65" i="18"/>
  <c r="O66" i="18" s="1"/>
  <c r="E65" i="18"/>
  <c r="I65" i="18" s="1"/>
  <c r="S47" i="18"/>
  <c r="S48" i="18" s="1"/>
  <c r="E66" i="18"/>
  <c r="I66" i="18" s="1"/>
  <c r="S66" i="18"/>
  <c r="Y17" i="17"/>
  <c r="H75" i="11"/>
  <c r="F75" i="11"/>
  <c r="D75" i="11"/>
  <c r="H74" i="11"/>
  <c r="G74" i="11"/>
  <c r="F74" i="11"/>
  <c r="E74" i="11"/>
  <c r="D74" i="11"/>
  <c r="H73" i="11"/>
  <c r="G73" i="11"/>
  <c r="F73" i="11"/>
  <c r="F76" i="11" s="1"/>
  <c r="E73" i="11"/>
  <c r="D73" i="11"/>
  <c r="G72" i="11"/>
  <c r="F72" i="11"/>
  <c r="E72" i="11"/>
  <c r="D72" i="11"/>
  <c r="F71" i="11"/>
  <c r="E71" i="11"/>
  <c r="D71" i="11"/>
  <c r="C71" i="11"/>
  <c r="F70" i="11"/>
  <c r="E70" i="11"/>
  <c r="D70" i="11"/>
  <c r="C70" i="11"/>
  <c r="H75" i="12"/>
  <c r="G75" i="12"/>
  <c r="F75" i="12"/>
  <c r="E75" i="12"/>
  <c r="D75" i="12"/>
  <c r="C75" i="12"/>
  <c r="H74" i="12"/>
  <c r="G74" i="12"/>
  <c r="F74" i="12"/>
  <c r="E74" i="12"/>
  <c r="D74" i="12"/>
  <c r="C74" i="12"/>
  <c r="I74" i="12" s="1"/>
  <c r="H73" i="12"/>
  <c r="G73" i="12"/>
  <c r="F73" i="12"/>
  <c r="E73" i="12"/>
  <c r="D73" i="12"/>
  <c r="C73" i="12"/>
  <c r="I73" i="12" s="1"/>
  <c r="H72" i="12"/>
  <c r="G72" i="12"/>
  <c r="F72" i="12"/>
  <c r="E72" i="12"/>
  <c r="I72" i="12" s="1"/>
  <c r="D72" i="12"/>
  <c r="C72" i="12"/>
  <c r="H71" i="12"/>
  <c r="G71" i="12"/>
  <c r="F71" i="12"/>
  <c r="E71" i="12"/>
  <c r="D71" i="12"/>
  <c r="C71" i="12"/>
  <c r="I71" i="12" s="1"/>
  <c r="H70" i="12"/>
  <c r="G70" i="12"/>
  <c r="G76" i="12" s="1"/>
  <c r="F70" i="12"/>
  <c r="E70" i="12"/>
  <c r="I70" i="12" s="1"/>
  <c r="D70" i="12"/>
  <c r="C70" i="12"/>
  <c r="I75" i="12"/>
  <c r="F76" i="12"/>
  <c r="H76" i="12"/>
  <c r="E76" i="12"/>
  <c r="H65" i="11"/>
  <c r="Q64" i="11"/>
  <c r="G64" i="11"/>
  <c r="P63" i="11"/>
  <c r="F63" i="11"/>
  <c r="O62" i="11"/>
  <c r="E62" i="11"/>
  <c r="P61" i="11"/>
  <c r="N61" i="11"/>
  <c r="D61" i="11"/>
  <c r="P60" i="11"/>
  <c r="M60" i="11"/>
  <c r="C60" i="11"/>
  <c r="G48" i="11"/>
  <c r="I45" i="11"/>
  <c r="C45" i="11"/>
  <c r="C73" i="11" s="1"/>
  <c r="I73" i="11" s="1"/>
  <c r="G38" i="11"/>
  <c r="E38" i="11"/>
  <c r="C38" i="11"/>
  <c r="H36" i="11"/>
  <c r="G36" i="11"/>
  <c r="C36" i="11"/>
  <c r="H35" i="11"/>
  <c r="G35" i="11"/>
  <c r="C35" i="11"/>
  <c r="H34" i="11"/>
  <c r="G34" i="11"/>
  <c r="E34" i="11"/>
  <c r="H33" i="11"/>
  <c r="G33" i="11"/>
  <c r="E33" i="11"/>
  <c r="D33" i="11"/>
  <c r="Q64" i="12"/>
  <c r="O64" i="12"/>
  <c r="R63" i="12"/>
  <c r="Q63" i="12"/>
  <c r="P63" i="12"/>
  <c r="O63" i="12"/>
  <c r="Q62" i="12"/>
  <c r="P62" i="12"/>
  <c r="O62" i="12"/>
  <c r="P61" i="12"/>
  <c r="O61" i="12"/>
  <c r="N61" i="12"/>
  <c r="M64" i="12"/>
  <c r="M63" i="12"/>
  <c r="M61" i="12"/>
  <c r="P60" i="12"/>
  <c r="O60" i="12"/>
  <c r="N60" i="12"/>
  <c r="M60" i="12"/>
  <c r="T67" i="12"/>
  <c r="P66" i="12"/>
  <c r="G64" i="12"/>
  <c r="H65" i="12"/>
  <c r="F63" i="12"/>
  <c r="E62" i="12"/>
  <c r="D61" i="12"/>
  <c r="C60" i="12"/>
  <c r="G38" i="12"/>
  <c r="E38" i="12"/>
  <c r="C38" i="12"/>
  <c r="H36" i="12"/>
  <c r="G36" i="12"/>
  <c r="C36" i="12"/>
  <c r="H35" i="12"/>
  <c r="G35" i="12"/>
  <c r="C35" i="12"/>
  <c r="H34" i="12"/>
  <c r="G34" i="12"/>
  <c r="E34" i="12"/>
  <c r="H33" i="12"/>
  <c r="G33" i="12"/>
  <c r="E33" i="12"/>
  <c r="D33" i="12"/>
  <c r="E28" i="11"/>
  <c r="C28" i="11"/>
  <c r="I43" i="11" s="1"/>
  <c r="G43" i="11" s="1"/>
  <c r="G71" i="11" s="1"/>
  <c r="E27" i="11"/>
  <c r="G27" i="11" s="1"/>
  <c r="C27" i="11"/>
  <c r="I44" i="11" s="1"/>
  <c r="E26" i="11"/>
  <c r="C26" i="11"/>
  <c r="E25" i="11"/>
  <c r="C25" i="11"/>
  <c r="I46" i="11" s="1"/>
  <c r="C46" i="11" s="1"/>
  <c r="C74" i="11" s="1"/>
  <c r="I74" i="11" s="1"/>
  <c r="E24" i="11"/>
  <c r="C24" i="11"/>
  <c r="I47" i="11" s="1"/>
  <c r="E23" i="11"/>
  <c r="G23" i="11" s="1"/>
  <c r="C23" i="11"/>
  <c r="H48" i="11" s="1"/>
  <c r="E22" i="11"/>
  <c r="C22" i="11"/>
  <c r="E21" i="11"/>
  <c r="C21" i="11"/>
  <c r="I42" i="11" s="1"/>
  <c r="I48" i="11" l="1"/>
  <c r="G42" i="11"/>
  <c r="G70" i="11" s="1"/>
  <c r="C48" i="11"/>
  <c r="I61" i="17"/>
  <c r="H66" i="17"/>
  <c r="G26" i="11"/>
  <c r="S61" i="17"/>
  <c r="R66" i="17"/>
  <c r="S65" i="18"/>
  <c r="C47" i="17"/>
  <c r="M47" i="17" s="1"/>
  <c r="C76" i="12"/>
  <c r="I76" i="12" s="1"/>
  <c r="J46" i="11"/>
  <c r="H42" i="11"/>
  <c r="H70" i="11" s="1"/>
  <c r="H43" i="11"/>
  <c r="G47" i="11"/>
  <c r="G75" i="11" s="1"/>
  <c r="J45" i="11"/>
  <c r="S63" i="12"/>
  <c r="S64" i="12"/>
  <c r="G22" i="11"/>
  <c r="G28" i="11"/>
  <c r="G21" i="11"/>
  <c r="G25" i="11"/>
  <c r="C29" i="11"/>
  <c r="G24" i="11"/>
  <c r="E29" i="11"/>
  <c r="G76" i="11" l="1"/>
  <c r="M65" i="17"/>
  <c r="C65" i="17"/>
  <c r="M48" i="17"/>
  <c r="G29" i="11"/>
  <c r="J43" i="11"/>
  <c r="H71" i="11"/>
  <c r="I71" i="11" s="1"/>
  <c r="I70" i="11"/>
  <c r="E47" i="17"/>
  <c r="C49" i="17"/>
  <c r="G49" i="11"/>
  <c r="H44" i="11"/>
  <c r="H72" i="11" s="1"/>
  <c r="J42" i="11"/>
  <c r="E28" i="12"/>
  <c r="E27" i="12"/>
  <c r="E26" i="12"/>
  <c r="E25" i="12"/>
  <c r="E24" i="12"/>
  <c r="E23" i="12"/>
  <c r="E22" i="12"/>
  <c r="E21" i="12"/>
  <c r="C28" i="12"/>
  <c r="I43" i="12" s="1"/>
  <c r="C27" i="12"/>
  <c r="I44" i="12" s="1"/>
  <c r="C26" i="12"/>
  <c r="I45" i="12" s="1"/>
  <c r="C45" i="12" s="1"/>
  <c r="C25" i="12"/>
  <c r="C24" i="12"/>
  <c r="I47" i="12" s="1"/>
  <c r="C23" i="12"/>
  <c r="C22" i="12"/>
  <c r="C21" i="12"/>
  <c r="I42" i="12" s="1"/>
  <c r="G27" i="12"/>
  <c r="G23" i="12"/>
  <c r="B1" i="6"/>
  <c r="B1" i="15"/>
  <c r="B1" i="4"/>
  <c r="B1" i="12"/>
  <c r="B1" i="11"/>
  <c r="C66" i="17" l="1"/>
  <c r="H76" i="11"/>
  <c r="J47" i="17"/>
  <c r="O47" i="17"/>
  <c r="M66" i="17"/>
  <c r="E49" i="17"/>
  <c r="I49" i="17" s="1"/>
  <c r="E48" i="17"/>
  <c r="J48" i="17" s="1"/>
  <c r="C44" i="11"/>
  <c r="C72" i="11" s="1"/>
  <c r="H49" i="11"/>
  <c r="G22" i="12"/>
  <c r="G26" i="12"/>
  <c r="C48" i="12"/>
  <c r="I46" i="12"/>
  <c r="C46" i="12" s="1"/>
  <c r="J45" i="12"/>
  <c r="G48" i="12"/>
  <c r="H48" i="12"/>
  <c r="C29" i="12"/>
  <c r="G21" i="12"/>
  <c r="G28" i="12"/>
  <c r="G24" i="12"/>
  <c r="G25" i="12"/>
  <c r="E29" i="12"/>
  <c r="I72" i="11" l="1"/>
  <c r="O48" i="17"/>
  <c r="O65" i="17"/>
  <c r="E65" i="17"/>
  <c r="S47" i="17"/>
  <c r="S48" i="17" s="1"/>
  <c r="J44" i="11"/>
  <c r="C47" i="11"/>
  <c r="C75" i="11" s="1"/>
  <c r="C76" i="11" s="1"/>
  <c r="G29" i="12"/>
  <c r="I48" i="12"/>
  <c r="G43" i="12"/>
  <c r="Q61" i="12" s="1"/>
  <c r="G42" i="12"/>
  <c r="Q60" i="12" s="1"/>
  <c r="J46" i="12"/>
  <c r="B1" i="14"/>
  <c r="C30" i="2"/>
  <c r="D19" i="2"/>
  <c r="C19" i="2"/>
  <c r="D41" i="2"/>
  <c r="D39" i="2"/>
  <c r="C41" i="2"/>
  <c r="C39" i="2"/>
  <c r="C34" i="2"/>
  <c r="C32" i="2"/>
  <c r="D34" i="2"/>
  <c r="D33" i="2"/>
  <c r="D32" i="2"/>
  <c r="D31" i="2"/>
  <c r="C13" i="14"/>
  <c r="C8" i="14"/>
  <c r="D22" i="13"/>
  <c r="D29" i="13" s="1"/>
  <c r="C6" i="14" s="1"/>
  <c r="C18" i="14" s="1"/>
  <c r="F15" i="12"/>
  <c r="E15" i="12"/>
  <c r="D15" i="12"/>
  <c r="C15" i="12"/>
  <c r="C16" i="12" s="1"/>
  <c r="C26" i="4" s="1"/>
  <c r="R14" i="12"/>
  <c r="X14" i="12" s="1"/>
  <c r="Q14" i="12"/>
  <c r="P14" i="12"/>
  <c r="V14" i="12" s="1"/>
  <c r="O14" i="12"/>
  <c r="D28" i="12" s="1"/>
  <c r="N14" i="12"/>
  <c r="M14" i="12"/>
  <c r="H14" i="12"/>
  <c r="G14" i="12"/>
  <c r="R13" i="12"/>
  <c r="X13" i="12" s="1"/>
  <c r="Q13" i="12"/>
  <c r="P13" i="12"/>
  <c r="V13" i="12" s="1"/>
  <c r="O13" i="12"/>
  <c r="N13" i="12"/>
  <c r="M13" i="12"/>
  <c r="H13" i="12"/>
  <c r="G13" i="12"/>
  <c r="R12" i="12"/>
  <c r="X12" i="12" s="1"/>
  <c r="Q12" i="12"/>
  <c r="P12" i="12"/>
  <c r="V12" i="12" s="1"/>
  <c r="O12" i="12"/>
  <c r="N12" i="12"/>
  <c r="M12" i="12"/>
  <c r="H12" i="12"/>
  <c r="G12" i="12"/>
  <c r="R11" i="12"/>
  <c r="Q11" i="12"/>
  <c r="P11" i="12"/>
  <c r="V11" i="12" s="1"/>
  <c r="O11" i="12"/>
  <c r="N11" i="12"/>
  <c r="M11" i="12"/>
  <c r="H11" i="12"/>
  <c r="G11" i="12"/>
  <c r="R10" i="12"/>
  <c r="X10" i="12" s="1"/>
  <c r="Q10" i="12"/>
  <c r="P10" i="12"/>
  <c r="V10" i="12" s="1"/>
  <c r="O10" i="12"/>
  <c r="N10" i="12"/>
  <c r="M10" i="12"/>
  <c r="H10" i="12"/>
  <c r="G10" i="12"/>
  <c r="R9" i="12"/>
  <c r="Q9" i="12"/>
  <c r="P9" i="12"/>
  <c r="V9" i="12" s="1"/>
  <c r="O9" i="12"/>
  <c r="N9" i="12"/>
  <c r="M9" i="12"/>
  <c r="H9" i="12"/>
  <c r="G9" i="12"/>
  <c r="R8" i="12"/>
  <c r="X8" i="12" s="1"/>
  <c r="Q8" i="12"/>
  <c r="P8" i="12"/>
  <c r="O8" i="12"/>
  <c r="N8" i="12"/>
  <c r="M8" i="12"/>
  <c r="H8" i="12"/>
  <c r="G8" i="12"/>
  <c r="R7" i="12"/>
  <c r="X7" i="12" s="1"/>
  <c r="Q7" i="12"/>
  <c r="P7" i="12"/>
  <c r="V7" i="12" s="1"/>
  <c r="O7" i="12"/>
  <c r="N7" i="12"/>
  <c r="M7" i="12"/>
  <c r="H7" i="12"/>
  <c r="H15" i="12" s="1"/>
  <c r="G7" i="12"/>
  <c r="G15" i="12" s="1"/>
  <c r="F15" i="11"/>
  <c r="E15" i="11"/>
  <c r="D15" i="11"/>
  <c r="C15" i="11"/>
  <c r="C16" i="11" s="1"/>
  <c r="C24" i="4" s="1"/>
  <c r="R14" i="11"/>
  <c r="X14" i="11" s="1"/>
  <c r="Q14" i="11"/>
  <c r="F28" i="11" s="1"/>
  <c r="P14" i="11"/>
  <c r="V14" i="11" s="1"/>
  <c r="O14" i="11"/>
  <c r="N14" i="11"/>
  <c r="M14" i="11"/>
  <c r="H14" i="11"/>
  <c r="G14" i="11"/>
  <c r="R13" i="11"/>
  <c r="X13" i="11" s="1"/>
  <c r="Q13" i="11"/>
  <c r="P13" i="11"/>
  <c r="V13" i="11" s="1"/>
  <c r="O13" i="11"/>
  <c r="N13" i="11"/>
  <c r="M13" i="11"/>
  <c r="H13" i="11"/>
  <c r="G13" i="11"/>
  <c r="R12" i="11"/>
  <c r="X12" i="11" s="1"/>
  <c r="Q12" i="11"/>
  <c r="F26" i="11" s="1"/>
  <c r="P12" i="11"/>
  <c r="V12" i="11" s="1"/>
  <c r="O12" i="11"/>
  <c r="N12" i="11"/>
  <c r="M12" i="11"/>
  <c r="H12" i="11"/>
  <c r="G12" i="11"/>
  <c r="R11" i="11"/>
  <c r="X11" i="11" s="1"/>
  <c r="Q11" i="11"/>
  <c r="P11" i="11"/>
  <c r="V11" i="11" s="1"/>
  <c r="O11" i="11"/>
  <c r="N11" i="11"/>
  <c r="M11" i="11"/>
  <c r="H11" i="11"/>
  <c r="G11" i="11"/>
  <c r="R10" i="11"/>
  <c r="X10" i="11" s="1"/>
  <c r="Q10" i="11"/>
  <c r="F24" i="11" s="1"/>
  <c r="P10" i="11"/>
  <c r="V10" i="11" s="1"/>
  <c r="O10" i="11"/>
  <c r="N10" i="11"/>
  <c r="M10" i="11"/>
  <c r="H10" i="11"/>
  <c r="G10" i="11"/>
  <c r="R9" i="11"/>
  <c r="X9" i="11" s="1"/>
  <c r="Q9" i="11"/>
  <c r="P9" i="11"/>
  <c r="V9" i="11" s="1"/>
  <c r="O9" i="11"/>
  <c r="N9" i="11"/>
  <c r="M9" i="11"/>
  <c r="H9" i="11"/>
  <c r="G9" i="11"/>
  <c r="R8" i="11"/>
  <c r="X8" i="11" s="1"/>
  <c r="Q8" i="11"/>
  <c r="F22" i="11" s="1"/>
  <c r="P8" i="11"/>
  <c r="V8" i="11" s="1"/>
  <c r="O8" i="11"/>
  <c r="N8" i="11"/>
  <c r="M8" i="11"/>
  <c r="H8" i="11"/>
  <c r="G8" i="11"/>
  <c r="R7" i="11"/>
  <c r="X7" i="11" s="1"/>
  <c r="Q7" i="11"/>
  <c r="P7" i="11"/>
  <c r="V7" i="11" s="1"/>
  <c r="V15" i="11" s="1"/>
  <c r="V16" i="11" s="1"/>
  <c r="O7" i="11"/>
  <c r="N7" i="11"/>
  <c r="M7" i="11"/>
  <c r="H7" i="11"/>
  <c r="H15" i="11" s="1"/>
  <c r="G7" i="11"/>
  <c r="G15" i="11" s="1"/>
  <c r="H22" i="11" l="1"/>
  <c r="W9" i="11"/>
  <c r="Y9" i="11" s="1"/>
  <c r="F23" i="11"/>
  <c r="O55" i="11"/>
  <c r="O63" i="11" s="1"/>
  <c r="Q55" i="11"/>
  <c r="Q63" i="11" s="1"/>
  <c r="W13" i="11"/>
  <c r="F27" i="11"/>
  <c r="E66" i="17"/>
  <c r="I66" i="17" s="1"/>
  <c r="I65" i="17"/>
  <c r="U7" i="11"/>
  <c r="D21" i="11"/>
  <c r="U8" i="11"/>
  <c r="D22" i="11"/>
  <c r="U9" i="11"/>
  <c r="D23" i="11"/>
  <c r="H56" i="11" s="1"/>
  <c r="H64" i="11" s="1"/>
  <c r="U10" i="11"/>
  <c r="D24" i="11"/>
  <c r="U11" i="11"/>
  <c r="D25" i="11"/>
  <c r="U12" i="11"/>
  <c r="D26" i="11"/>
  <c r="U13" i="11"/>
  <c r="D27" i="11"/>
  <c r="U14" i="11"/>
  <c r="D28" i="11"/>
  <c r="O66" i="17"/>
  <c r="S66" i="17" s="1"/>
  <c r="S65" i="17"/>
  <c r="W7" i="11"/>
  <c r="F21" i="11"/>
  <c r="Q57" i="11"/>
  <c r="Q65" i="11" s="1"/>
  <c r="M57" i="11"/>
  <c r="H24" i="11"/>
  <c r="W11" i="11"/>
  <c r="F25" i="11"/>
  <c r="R53" i="11"/>
  <c r="R61" i="11" s="1"/>
  <c r="S61" i="11" s="1"/>
  <c r="M53" i="11"/>
  <c r="M61" i="11" s="1"/>
  <c r="Q53" i="11"/>
  <c r="Q61" i="11" s="1"/>
  <c r="O53" i="11"/>
  <c r="O61" i="11" s="1"/>
  <c r="H28" i="11"/>
  <c r="M65" i="11"/>
  <c r="E47" i="11"/>
  <c r="C49" i="11"/>
  <c r="C53" i="12"/>
  <c r="C61" i="12" s="1"/>
  <c r="F22" i="12"/>
  <c r="H22" i="12" s="1"/>
  <c r="F24" i="12"/>
  <c r="F28" i="12"/>
  <c r="H42" i="12"/>
  <c r="R60" i="12" s="1"/>
  <c r="S60" i="12" s="1"/>
  <c r="H43" i="12"/>
  <c r="R61" i="12" s="1"/>
  <c r="T8" i="12"/>
  <c r="G47" i="12"/>
  <c r="Q65" i="12" s="1"/>
  <c r="Q66" i="12" s="1"/>
  <c r="U8" i="12"/>
  <c r="D22" i="12"/>
  <c r="U10" i="12"/>
  <c r="D24" i="12"/>
  <c r="U7" i="12"/>
  <c r="D21" i="12"/>
  <c r="U9" i="12"/>
  <c r="D23" i="12"/>
  <c r="W7" i="12"/>
  <c r="Y7" i="12" s="1"/>
  <c r="F21" i="12"/>
  <c r="W9" i="12"/>
  <c r="F23" i="12"/>
  <c r="R56" i="12" s="1"/>
  <c r="W11" i="12"/>
  <c r="F25" i="12"/>
  <c r="F26" i="12"/>
  <c r="W13" i="12"/>
  <c r="F27" i="12"/>
  <c r="U11" i="12"/>
  <c r="D25" i="12"/>
  <c r="U12" i="12"/>
  <c r="D26" i="12"/>
  <c r="S13" i="12"/>
  <c r="D27" i="12"/>
  <c r="U14" i="12"/>
  <c r="S8" i="12"/>
  <c r="S10" i="12"/>
  <c r="S12" i="12"/>
  <c r="S14" i="12"/>
  <c r="D16" i="12"/>
  <c r="F26" i="4" s="1"/>
  <c r="T9" i="12"/>
  <c r="T11" i="12"/>
  <c r="Z7" i="12"/>
  <c r="Z10" i="12"/>
  <c r="Z12" i="12"/>
  <c r="Z13" i="12"/>
  <c r="Z14" i="12"/>
  <c r="T14" i="12"/>
  <c r="R15" i="12"/>
  <c r="L15" i="12" s="1"/>
  <c r="V8" i="12"/>
  <c r="V15" i="12" s="1"/>
  <c r="V16" i="12" s="1"/>
  <c r="X9" i="12"/>
  <c r="Z9" i="12" s="1"/>
  <c r="X11" i="12"/>
  <c r="Z11" i="12" s="1"/>
  <c r="S7" i="12"/>
  <c r="S9" i="12"/>
  <c r="S11" i="12"/>
  <c r="O15" i="12"/>
  <c r="W8" i="12"/>
  <c r="W12" i="12"/>
  <c r="Y12" i="12" s="1"/>
  <c r="U13" i="12"/>
  <c r="Y13" i="12" s="1"/>
  <c r="W14" i="12"/>
  <c r="T7" i="12"/>
  <c r="T13" i="12"/>
  <c r="P15" i="12"/>
  <c r="J15" i="12" s="1"/>
  <c r="T10" i="12"/>
  <c r="T12" i="12"/>
  <c r="W10" i="12"/>
  <c r="Q15" i="12"/>
  <c r="D16" i="11"/>
  <c r="F24" i="4" s="1"/>
  <c r="S8" i="11"/>
  <c r="S10" i="11"/>
  <c r="S12" i="11"/>
  <c r="S14" i="11"/>
  <c r="Y7" i="11"/>
  <c r="Y11" i="11"/>
  <c r="Y13" i="11"/>
  <c r="Z7" i="11"/>
  <c r="X15" i="11"/>
  <c r="X16" i="11" s="1"/>
  <c r="Z16" i="11" s="1"/>
  <c r="Z8" i="11"/>
  <c r="Z9" i="11"/>
  <c r="Z10" i="11"/>
  <c r="Z11" i="11"/>
  <c r="Z12" i="11"/>
  <c r="Z13" i="11"/>
  <c r="Z14" i="11"/>
  <c r="T7" i="11"/>
  <c r="T13" i="11"/>
  <c r="T8" i="11"/>
  <c r="T10" i="11"/>
  <c r="T12" i="11"/>
  <c r="T14" i="11"/>
  <c r="R15" i="11"/>
  <c r="L15" i="11" s="1"/>
  <c r="S7" i="11"/>
  <c r="S9" i="11"/>
  <c r="S11" i="11"/>
  <c r="S13" i="11"/>
  <c r="O15" i="11"/>
  <c r="W8" i="11"/>
  <c r="W10" i="11"/>
  <c r="W12" i="11"/>
  <c r="W14" i="11"/>
  <c r="Y14" i="11" s="1"/>
  <c r="T9" i="11"/>
  <c r="T11" i="11"/>
  <c r="P15" i="11"/>
  <c r="J15" i="11" s="1"/>
  <c r="Q15" i="11"/>
  <c r="K15" i="11" l="1"/>
  <c r="F29" i="11"/>
  <c r="I15" i="11"/>
  <c r="D29" i="11"/>
  <c r="H23" i="11"/>
  <c r="R56" i="11"/>
  <c r="Y12" i="11"/>
  <c r="H25" i="11"/>
  <c r="M56" i="11"/>
  <c r="M64" i="11" s="1"/>
  <c r="O56" i="11"/>
  <c r="O64" i="11" s="1"/>
  <c r="O57" i="11"/>
  <c r="O65" i="11" s="1"/>
  <c r="O66" i="11" s="1"/>
  <c r="H54" i="11"/>
  <c r="H62" i="11" s="1"/>
  <c r="H66" i="11" s="1"/>
  <c r="G54" i="11"/>
  <c r="G62" i="11" s="1"/>
  <c r="F54" i="11"/>
  <c r="F62" i="11" s="1"/>
  <c r="F66" i="11" s="1"/>
  <c r="C54" i="11"/>
  <c r="C62" i="11" s="1"/>
  <c r="C56" i="11"/>
  <c r="C64" i="11" s="1"/>
  <c r="I64" i="11" s="1"/>
  <c r="E56" i="11"/>
  <c r="E64" i="11" s="1"/>
  <c r="H52" i="11"/>
  <c r="H60" i="11" s="1"/>
  <c r="E52" i="11"/>
  <c r="E60" i="11" s="1"/>
  <c r="D52" i="11"/>
  <c r="D60" i="11" s="1"/>
  <c r="G52" i="11"/>
  <c r="G60" i="11" s="1"/>
  <c r="H27" i="11"/>
  <c r="R54" i="11"/>
  <c r="R62" i="11" s="1"/>
  <c r="P54" i="11"/>
  <c r="P62" i="11" s="1"/>
  <c r="P66" i="11" s="1"/>
  <c r="M54" i="11"/>
  <c r="M62" i="11" s="1"/>
  <c r="Q54" i="11"/>
  <c r="Q62" i="11" s="1"/>
  <c r="M55" i="11"/>
  <c r="M63" i="11" s="1"/>
  <c r="Y10" i="11"/>
  <c r="Y15" i="11" s="1"/>
  <c r="J47" i="11"/>
  <c r="J48" i="11" s="1"/>
  <c r="E75" i="11"/>
  <c r="U15" i="11"/>
  <c r="Y8" i="11"/>
  <c r="H21" i="11"/>
  <c r="R52" i="11"/>
  <c r="R60" i="11" s="1"/>
  <c r="Q52" i="11"/>
  <c r="Q60" i="11" s="1"/>
  <c r="Q66" i="11" s="1"/>
  <c r="N52" i="11"/>
  <c r="N60" i="11" s="1"/>
  <c r="O52" i="11"/>
  <c r="O60" i="11" s="1"/>
  <c r="H53" i="11"/>
  <c r="H61" i="11" s="1"/>
  <c r="G53" i="11"/>
  <c r="G61" i="11" s="1"/>
  <c r="E53" i="11"/>
  <c r="E61" i="11" s="1"/>
  <c r="C53" i="11"/>
  <c r="C61" i="11" s="1"/>
  <c r="H55" i="11"/>
  <c r="H63" i="11" s="1"/>
  <c r="G55" i="11"/>
  <c r="G63" i="11" s="1"/>
  <c r="C55" i="11"/>
  <c r="C63" i="11" s="1"/>
  <c r="E55" i="11"/>
  <c r="E63" i="11" s="1"/>
  <c r="E57" i="11"/>
  <c r="G57" i="11"/>
  <c r="G65" i="11" s="1"/>
  <c r="G66" i="11" s="1"/>
  <c r="C57" i="11"/>
  <c r="C65" i="11" s="1"/>
  <c r="H26" i="11"/>
  <c r="R55" i="11"/>
  <c r="R63" i="11" s="1"/>
  <c r="S61" i="12"/>
  <c r="E48" i="11"/>
  <c r="E65" i="11"/>
  <c r="E66" i="11" s="1"/>
  <c r="E49" i="11"/>
  <c r="I49" i="11" s="1"/>
  <c r="G49" i="12"/>
  <c r="Y14" i="12"/>
  <c r="C54" i="12"/>
  <c r="H54" i="12"/>
  <c r="G54" i="12"/>
  <c r="G62" i="12" s="1"/>
  <c r="F54" i="12"/>
  <c r="O55" i="12"/>
  <c r="M55" i="12"/>
  <c r="R55" i="12"/>
  <c r="Q55" i="12"/>
  <c r="H56" i="12"/>
  <c r="H64" i="12" s="1"/>
  <c r="E57" i="12"/>
  <c r="G57" i="12"/>
  <c r="G65" i="12" s="1"/>
  <c r="C57" i="12"/>
  <c r="O56" i="12"/>
  <c r="M56" i="12"/>
  <c r="Q53" i="12"/>
  <c r="O53" i="12"/>
  <c r="R53" i="12"/>
  <c r="M53" i="12"/>
  <c r="C55" i="12"/>
  <c r="C63" i="12" s="1"/>
  <c r="G55" i="12"/>
  <c r="G63" i="12" s="1"/>
  <c r="E55" i="12"/>
  <c r="E63" i="12" s="1"/>
  <c r="H55" i="12"/>
  <c r="H63" i="12" s="1"/>
  <c r="P54" i="12"/>
  <c r="R54" i="12"/>
  <c r="M54" i="12"/>
  <c r="Q54" i="12"/>
  <c r="Q52" i="12"/>
  <c r="N52" i="12"/>
  <c r="R52" i="12"/>
  <c r="O52" i="12"/>
  <c r="H52" i="12"/>
  <c r="H60" i="12" s="1"/>
  <c r="D52" i="12"/>
  <c r="D60" i="12" s="1"/>
  <c r="G52" i="12"/>
  <c r="G60" i="12" s="1"/>
  <c r="E52" i="12"/>
  <c r="E60" i="12" s="1"/>
  <c r="Q57" i="12"/>
  <c r="O57" i="12"/>
  <c r="M57" i="12"/>
  <c r="E53" i="12"/>
  <c r="E61" i="12" s="1"/>
  <c r="C56" i="12"/>
  <c r="C64" i="12" s="1"/>
  <c r="E56" i="12"/>
  <c r="E64" i="12" s="1"/>
  <c r="H53" i="12"/>
  <c r="G53" i="12"/>
  <c r="H24" i="12"/>
  <c r="Y9" i="12"/>
  <c r="Y8" i="12"/>
  <c r="H44" i="12"/>
  <c r="H61" i="12"/>
  <c r="J43" i="12"/>
  <c r="J42" i="12"/>
  <c r="Y10" i="12"/>
  <c r="Y11" i="12"/>
  <c r="H26" i="12"/>
  <c r="H28" i="12"/>
  <c r="H25" i="12"/>
  <c r="H23" i="12"/>
  <c r="H21" i="12"/>
  <c r="K15" i="12"/>
  <c r="F29" i="12"/>
  <c r="I15" i="12"/>
  <c r="M15" i="12" s="1"/>
  <c r="D29" i="12"/>
  <c r="H27" i="12"/>
  <c r="U15" i="12"/>
  <c r="Z8" i="12"/>
  <c r="Z15" i="12" s="1"/>
  <c r="T15" i="12"/>
  <c r="S15" i="12"/>
  <c r="N15" i="12"/>
  <c r="X15" i="12"/>
  <c r="X16" i="12" s="1"/>
  <c r="Z16" i="12" s="1"/>
  <c r="W15" i="12"/>
  <c r="W16" i="12" s="1"/>
  <c r="T15" i="11"/>
  <c r="S15" i="11"/>
  <c r="Z15" i="11"/>
  <c r="N15" i="11"/>
  <c r="W15" i="11"/>
  <c r="W16" i="11" s="1"/>
  <c r="U16" i="11" l="1"/>
  <c r="U17" i="11" s="1"/>
  <c r="J67" i="11" s="1"/>
  <c r="C9" i="4"/>
  <c r="S63" i="11"/>
  <c r="I62" i="11"/>
  <c r="E76" i="11"/>
  <c r="I76" i="11" s="1"/>
  <c r="I75" i="11"/>
  <c r="I60" i="11"/>
  <c r="H29" i="11"/>
  <c r="Y16" i="11"/>
  <c r="W17" i="11"/>
  <c r="I61" i="11"/>
  <c r="R66" i="11"/>
  <c r="C66" i="11"/>
  <c r="I66" i="11" s="1"/>
  <c r="I63" i="11"/>
  <c r="S60" i="11"/>
  <c r="M66" i="11"/>
  <c r="S66" i="11" s="1"/>
  <c r="S62" i="11"/>
  <c r="S64" i="11"/>
  <c r="M15" i="11"/>
  <c r="I65" i="11"/>
  <c r="H62" i="12"/>
  <c r="H66" i="12" s="1"/>
  <c r="R62" i="12"/>
  <c r="R66" i="12" s="1"/>
  <c r="S65" i="11"/>
  <c r="F66" i="12"/>
  <c r="F62" i="12"/>
  <c r="G61" i="12"/>
  <c r="I61" i="12" s="1"/>
  <c r="Y15" i="12"/>
  <c r="I64" i="12"/>
  <c r="I63" i="12"/>
  <c r="W17" i="12"/>
  <c r="C44" i="12"/>
  <c r="I60" i="12"/>
  <c r="H49" i="12"/>
  <c r="H29" i="12"/>
  <c r="E9" i="4"/>
  <c r="C11" i="4"/>
  <c r="U16" i="12"/>
  <c r="U17" i="12" s="1"/>
  <c r="J67" i="12" s="1"/>
  <c r="E11" i="4"/>
  <c r="AB46" i="7"/>
  <c r="AB47" i="7" s="1"/>
  <c r="AB48" i="7" s="1"/>
  <c r="AB49" i="7" s="1"/>
  <c r="AB50" i="7" s="1"/>
  <c r="AB51" i="7" s="1"/>
  <c r="AB52" i="7" s="1"/>
  <c r="AB53" i="7" s="1"/>
  <c r="AB54" i="7" s="1"/>
  <c r="AB55" i="7" s="1"/>
  <c r="AB56" i="7" s="1"/>
  <c r="AB57" i="7" s="1"/>
  <c r="AB58" i="7" s="1"/>
  <c r="AB59" i="7" s="1"/>
  <c r="AB60" i="7" s="1"/>
  <c r="AB61" i="7" s="1"/>
  <c r="AB62" i="7" s="1"/>
  <c r="AB63" i="7" s="1"/>
  <c r="AB64" i="7" s="1"/>
  <c r="AB65" i="7" s="1"/>
  <c r="AB66" i="7" s="1"/>
  <c r="AB67" i="7" s="1"/>
  <c r="AB68" i="7" s="1"/>
  <c r="AB69" i="7" s="1"/>
  <c r="AB70" i="7" s="1"/>
  <c r="AB71" i="7" s="1"/>
  <c r="AB72" i="7" s="1"/>
  <c r="AB73" i="7" s="1"/>
  <c r="AB74" i="7" s="1"/>
  <c r="AB75" i="7" s="1"/>
  <c r="AB76" i="7" s="1"/>
  <c r="AB77" i="7" s="1"/>
  <c r="AB78" i="7" s="1"/>
  <c r="AB79" i="7" s="1"/>
  <c r="AB80" i="7" s="1"/>
  <c r="AB81" i="7" s="1"/>
  <c r="AB82" i="7" s="1"/>
  <c r="AB83" i="7" s="1"/>
  <c r="AB84" i="7" s="1"/>
  <c r="AB85" i="7" s="1"/>
  <c r="AB86" i="7" s="1"/>
  <c r="AB87" i="7" s="1"/>
  <c r="AB88" i="7" s="1"/>
  <c r="AB89" i="7" s="1"/>
  <c r="AB90" i="7" s="1"/>
  <c r="AB91" i="7" s="1"/>
  <c r="AB92" i="7" s="1"/>
  <c r="AB93" i="7" s="1"/>
  <c r="AB94" i="7" s="1"/>
  <c r="AB95" i="7" s="1"/>
  <c r="AB96" i="7" s="1"/>
  <c r="AB97" i="7" s="1"/>
  <c r="AB98" i="7" s="1"/>
  <c r="AB99" i="7" s="1"/>
  <c r="AB100" i="7" s="1"/>
  <c r="AB101" i="7" s="1"/>
  <c r="AB102" i="7" s="1"/>
  <c r="AB103" i="7" s="1"/>
  <c r="AB45" i="7"/>
  <c r="A45" i="7"/>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Y17" i="11" l="1"/>
  <c r="T67" i="11"/>
  <c r="C62" i="12"/>
  <c r="M62" i="12"/>
  <c r="G66" i="12"/>
  <c r="Y17" i="12"/>
  <c r="Y16" i="12"/>
  <c r="C47" i="12"/>
  <c r="M65" i="12" s="1"/>
  <c r="J44" i="12"/>
  <c r="J44" i="7"/>
  <c r="W44" i="7" s="1"/>
  <c r="M66" i="12" l="1"/>
  <c r="S62" i="12"/>
  <c r="C49" i="12"/>
  <c r="C65" i="12"/>
  <c r="I62" i="12"/>
  <c r="E47" i="12"/>
  <c r="W45" i="7"/>
  <c r="W46" i="7" s="1"/>
  <c r="W47" i="7" s="1"/>
  <c r="W48" i="7" s="1"/>
  <c r="W49" i="7" s="1"/>
  <c r="W50" i="7" s="1"/>
  <c r="W51" i="7" s="1"/>
  <c r="W52" i="7" s="1"/>
  <c r="W53" i="7" s="1"/>
  <c r="W54" i="7" s="1"/>
  <c r="W55" i="7" s="1"/>
  <c r="W56" i="7" s="1"/>
  <c r="W57" i="7" s="1"/>
  <c r="W58" i="7" s="1"/>
  <c r="W59" i="7" s="1"/>
  <c r="W60" i="7" s="1"/>
  <c r="W61" i="7" s="1"/>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J45" i="7"/>
  <c r="E65" i="12" l="1"/>
  <c r="O65" i="12"/>
  <c r="J47" i="12"/>
  <c r="J48" i="12" s="1"/>
  <c r="E49" i="12"/>
  <c r="I49" i="12" s="1"/>
  <c r="E66" i="12"/>
  <c r="E48" i="12"/>
  <c r="C66" i="12"/>
  <c r="J46" i="7"/>
  <c r="C21" i="2"/>
  <c r="C20" i="2"/>
  <c r="O66" i="12" l="1"/>
  <c r="S66" i="12" s="1"/>
  <c r="S65" i="12"/>
  <c r="I66" i="12"/>
  <c r="I65" i="12"/>
  <c r="J47" i="7"/>
  <c r="E33" i="4"/>
  <c r="F11" i="7" s="1"/>
  <c r="D33" i="4"/>
  <c r="F10" i="7" s="1"/>
  <c r="C33" i="4"/>
  <c r="F9" i="7" s="1"/>
  <c r="E32" i="4"/>
  <c r="E11" i="7" s="1"/>
  <c r="D32" i="4"/>
  <c r="E10" i="7" s="1"/>
  <c r="C32" i="4"/>
  <c r="E9" i="7" s="1"/>
  <c r="E31" i="4"/>
  <c r="D11" i="7" s="1"/>
  <c r="D31" i="4"/>
  <c r="D10" i="7" s="1"/>
  <c r="C31" i="4"/>
  <c r="D9" i="7" s="1"/>
  <c r="E30" i="4"/>
  <c r="C11" i="7" s="1"/>
  <c r="D30" i="4"/>
  <c r="C10" i="7" s="1"/>
  <c r="C30" i="4"/>
  <c r="C9" i="7" s="1"/>
  <c r="J48" i="7" l="1"/>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W139" i="9"/>
  <c r="V139" i="9"/>
  <c r="U139" i="9"/>
  <c r="C100" i="3" s="1"/>
  <c r="T139" i="9"/>
  <c r="B100" i="3" s="1"/>
  <c r="S139" i="9"/>
  <c r="R139" i="9"/>
  <c r="Q139" i="9"/>
  <c r="P139" i="9"/>
  <c r="O139" i="9"/>
  <c r="N139" i="9"/>
  <c r="M139" i="9"/>
  <c r="L139" i="9"/>
  <c r="K139" i="9"/>
  <c r="J139" i="9"/>
  <c r="I139" i="9"/>
  <c r="H139" i="9"/>
  <c r="G139" i="9"/>
  <c r="F139" i="9"/>
  <c r="E139" i="9"/>
  <c r="W138" i="9"/>
  <c r="V138" i="9"/>
  <c r="U138" i="9"/>
  <c r="C99" i="3" s="1"/>
  <c r="T138" i="9"/>
  <c r="B99" i="3" s="1"/>
  <c r="S138" i="9"/>
  <c r="R138" i="9"/>
  <c r="Q138" i="9"/>
  <c r="P138" i="9"/>
  <c r="O138" i="9"/>
  <c r="N138" i="9"/>
  <c r="M138" i="9"/>
  <c r="L138" i="9"/>
  <c r="K138" i="9"/>
  <c r="J138" i="9"/>
  <c r="I138" i="9"/>
  <c r="H138" i="9"/>
  <c r="G138" i="9"/>
  <c r="F138" i="9"/>
  <c r="E138" i="9"/>
  <c r="W137" i="9"/>
  <c r="V137" i="9"/>
  <c r="U137" i="9"/>
  <c r="C98" i="3" s="1"/>
  <c r="T137" i="9"/>
  <c r="B98" i="3" s="1"/>
  <c r="S137" i="9"/>
  <c r="R137" i="9"/>
  <c r="Q137" i="9"/>
  <c r="P137" i="9"/>
  <c r="O137" i="9"/>
  <c r="N137" i="9"/>
  <c r="M137" i="9"/>
  <c r="L137" i="9"/>
  <c r="K137" i="9"/>
  <c r="J137" i="9"/>
  <c r="I137" i="9"/>
  <c r="H137" i="9"/>
  <c r="G137" i="9"/>
  <c r="F137" i="9"/>
  <c r="E137" i="9"/>
  <c r="W136" i="9"/>
  <c r="V136" i="9"/>
  <c r="U136" i="9"/>
  <c r="C97" i="3" s="1"/>
  <c r="T136" i="9"/>
  <c r="B97" i="3" s="1"/>
  <c r="S136" i="9"/>
  <c r="R136" i="9"/>
  <c r="Q136" i="9"/>
  <c r="P136" i="9"/>
  <c r="O136" i="9"/>
  <c r="N136" i="9"/>
  <c r="M136" i="9"/>
  <c r="L136" i="9"/>
  <c r="K136" i="9"/>
  <c r="J136" i="9"/>
  <c r="I136" i="9"/>
  <c r="H136" i="9"/>
  <c r="G136" i="9"/>
  <c r="F136" i="9"/>
  <c r="E136" i="9"/>
  <c r="W135" i="9"/>
  <c r="V135" i="9"/>
  <c r="U135" i="9"/>
  <c r="C96" i="3" s="1"/>
  <c r="T135" i="9"/>
  <c r="B96" i="3" s="1"/>
  <c r="S135" i="9"/>
  <c r="R135" i="9"/>
  <c r="Q135" i="9"/>
  <c r="P135" i="9"/>
  <c r="O135" i="9"/>
  <c r="N135" i="9"/>
  <c r="M135" i="9"/>
  <c r="L135" i="9"/>
  <c r="K135" i="9"/>
  <c r="J135" i="9"/>
  <c r="I135" i="9"/>
  <c r="H135" i="9"/>
  <c r="G135" i="9"/>
  <c r="F135" i="9"/>
  <c r="E135" i="9"/>
  <c r="W134" i="9"/>
  <c r="V134" i="9"/>
  <c r="U134" i="9"/>
  <c r="C95" i="3" s="1"/>
  <c r="T134" i="9"/>
  <c r="B95" i="3" s="1"/>
  <c r="S134" i="9"/>
  <c r="R134" i="9"/>
  <c r="Q134" i="9"/>
  <c r="P134" i="9"/>
  <c r="O134" i="9"/>
  <c r="N134" i="9"/>
  <c r="M134" i="9"/>
  <c r="L134" i="9"/>
  <c r="K134" i="9"/>
  <c r="J134" i="9"/>
  <c r="I134" i="9"/>
  <c r="H134" i="9"/>
  <c r="G134" i="9"/>
  <c r="F134" i="9"/>
  <c r="E134" i="9"/>
  <c r="W133" i="9"/>
  <c r="V133" i="9"/>
  <c r="U133" i="9"/>
  <c r="C94" i="3" s="1"/>
  <c r="T133" i="9"/>
  <c r="B94" i="3" s="1"/>
  <c r="S133" i="9"/>
  <c r="R133" i="9"/>
  <c r="Q133" i="9"/>
  <c r="P133" i="9"/>
  <c r="O133" i="9"/>
  <c r="N133" i="9"/>
  <c r="M133" i="9"/>
  <c r="L133" i="9"/>
  <c r="K133" i="9"/>
  <c r="J133" i="9"/>
  <c r="I133" i="9"/>
  <c r="H133" i="9"/>
  <c r="G133" i="9"/>
  <c r="F133" i="9"/>
  <c r="E133" i="9"/>
  <c r="W132" i="9"/>
  <c r="V132" i="9"/>
  <c r="U132" i="9"/>
  <c r="C93" i="3" s="1"/>
  <c r="T132" i="9"/>
  <c r="B93" i="3" s="1"/>
  <c r="S132" i="9"/>
  <c r="R132" i="9"/>
  <c r="Q132" i="9"/>
  <c r="P132" i="9"/>
  <c r="O132" i="9"/>
  <c r="N132" i="9"/>
  <c r="M132" i="9"/>
  <c r="L132" i="9"/>
  <c r="K132" i="9"/>
  <c r="J132" i="9"/>
  <c r="I132" i="9"/>
  <c r="H132" i="9"/>
  <c r="G132" i="9"/>
  <c r="F132" i="9"/>
  <c r="E132" i="9"/>
  <c r="W131" i="9"/>
  <c r="V131" i="9"/>
  <c r="U131" i="9"/>
  <c r="C92" i="3" s="1"/>
  <c r="T131" i="9"/>
  <c r="B92" i="3" s="1"/>
  <c r="S131" i="9"/>
  <c r="R131" i="9"/>
  <c r="Q131" i="9"/>
  <c r="P131" i="9"/>
  <c r="O131" i="9"/>
  <c r="N131" i="9"/>
  <c r="M131" i="9"/>
  <c r="L131" i="9"/>
  <c r="K131" i="9"/>
  <c r="J131" i="9"/>
  <c r="I131" i="9"/>
  <c r="H131" i="9"/>
  <c r="G131" i="9"/>
  <c r="F131" i="9"/>
  <c r="E131" i="9"/>
  <c r="W130" i="9"/>
  <c r="V130" i="9"/>
  <c r="U130" i="9"/>
  <c r="C91" i="3" s="1"/>
  <c r="T130" i="9"/>
  <c r="B91" i="3" s="1"/>
  <c r="S130" i="9"/>
  <c r="R130" i="9"/>
  <c r="Q130" i="9"/>
  <c r="P130" i="9"/>
  <c r="O130" i="9"/>
  <c r="N130" i="9"/>
  <c r="M130" i="9"/>
  <c r="L130" i="9"/>
  <c r="K130" i="9"/>
  <c r="J130" i="9"/>
  <c r="I130" i="9"/>
  <c r="H130" i="9"/>
  <c r="G130" i="9"/>
  <c r="F130" i="9"/>
  <c r="E130" i="9"/>
  <c r="W129" i="9"/>
  <c r="V129" i="9"/>
  <c r="U129" i="9"/>
  <c r="C90" i="3" s="1"/>
  <c r="T129" i="9"/>
  <c r="B90" i="3" s="1"/>
  <c r="S129" i="9"/>
  <c r="R129" i="9"/>
  <c r="Q129" i="9"/>
  <c r="P129" i="9"/>
  <c r="O129" i="9"/>
  <c r="N129" i="9"/>
  <c r="M129" i="9"/>
  <c r="L129" i="9"/>
  <c r="K129" i="9"/>
  <c r="J129" i="9"/>
  <c r="I129" i="9"/>
  <c r="H129" i="9"/>
  <c r="G129" i="9"/>
  <c r="F129" i="9"/>
  <c r="E129" i="9"/>
  <c r="W128" i="9"/>
  <c r="V128" i="9"/>
  <c r="U128" i="9"/>
  <c r="C89" i="3" s="1"/>
  <c r="T128" i="9"/>
  <c r="B89" i="3" s="1"/>
  <c r="S128" i="9"/>
  <c r="R128" i="9"/>
  <c r="Q128" i="9"/>
  <c r="P128" i="9"/>
  <c r="O128" i="9"/>
  <c r="N128" i="9"/>
  <c r="M128" i="9"/>
  <c r="L128" i="9"/>
  <c r="K128" i="9"/>
  <c r="J128" i="9"/>
  <c r="I128" i="9"/>
  <c r="H128" i="9"/>
  <c r="G128" i="9"/>
  <c r="F128" i="9"/>
  <c r="E128" i="9"/>
  <c r="W127" i="9"/>
  <c r="V127" i="9"/>
  <c r="U127" i="9"/>
  <c r="C88" i="3" s="1"/>
  <c r="T127" i="9"/>
  <c r="B88" i="3" s="1"/>
  <c r="S127" i="9"/>
  <c r="R127" i="9"/>
  <c r="Q127" i="9"/>
  <c r="P127" i="9"/>
  <c r="O127" i="9"/>
  <c r="N127" i="9"/>
  <c r="M127" i="9"/>
  <c r="L127" i="9"/>
  <c r="K127" i="9"/>
  <c r="J127" i="9"/>
  <c r="I127" i="9"/>
  <c r="H127" i="9"/>
  <c r="G127" i="9"/>
  <c r="F127" i="9"/>
  <c r="E127" i="9"/>
  <c r="W126" i="9"/>
  <c r="V126" i="9"/>
  <c r="U126" i="9"/>
  <c r="C87" i="3" s="1"/>
  <c r="T126" i="9"/>
  <c r="B87" i="3" s="1"/>
  <c r="S126" i="9"/>
  <c r="R126" i="9"/>
  <c r="Q126" i="9"/>
  <c r="P126" i="9"/>
  <c r="O126" i="9"/>
  <c r="N126" i="9"/>
  <c r="M126" i="9"/>
  <c r="L126" i="9"/>
  <c r="K126" i="9"/>
  <c r="J126" i="9"/>
  <c r="I126" i="9"/>
  <c r="H126" i="9"/>
  <c r="G126" i="9"/>
  <c r="F126" i="9"/>
  <c r="E126" i="9"/>
  <c r="W125" i="9"/>
  <c r="V125" i="9"/>
  <c r="U125" i="9"/>
  <c r="C86" i="3" s="1"/>
  <c r="T125" i="9"/>
  <c r="B86" i="3" s="1"/>
  <c r="S125" i="9"/>
  <c r="R125" i="9"/>
  <c r="Q125" i="9"/>
  <c r="P125" i="9"/>
  <c r="O125" i="9"/>
  <c r="N125" i="9"/>
  <c r="M125" i="9"/>
  <c r="L125" i="9"/>
  <c r="K125" i="9"/>
  <c r="J125" i="9"/>
  <c r="I125" i="9"/>
  <c r="H125" i="9"/>
  <c r="G125" i="9"/>
  <c r="F125" i="9"/>
  <c r="E125" i="9"/>
  <c r="W124" i="9"/>
  <c r="V124" i="9"/>
  <c r="U124" i="9"/>
  <c r="C85" i="3" s="1"/>
  <c r="T124" i="9"/>
  <c r="B85" i="3" s="1"/>
  <c r="S124" i="9"/>
  <c r="R124" i="9"/>
  <c r="Q124" i="9"/>
  <c r="P124" i="9"/>
  <c r="O124" i="9"/>
  <c r="N124" i="9"/>
  <c r="M124" i="9"/>
  <c r="L124" i="9"/>
  <c r="K124" i="9"/>
  <c r="J124" i="9"/>
  <c r="I124" i="9"/>
  <c r="H124" i="9"/>
  <c r="G124" i="9"/>
  <c r="F124" i="9"/>
  <c r="E124" i="9"/>
  <c r="W123" i="9"/>
  <c r="V123" i="9"/>
  <c r="U123" i="9"/>
  <c r="C84" i="3" s="1"/>
  <c r="T123" i="9"/>
  <c r="B84" i="3" s="1"/>
  <c r="S123" i="9"/>
  <c r="R123" i="9"/>
  <c r="Q123" i="9"/>
  <c r="P123" i="9"/>
  <c r="O123" i="9"/>
  <c r="N123" i="9"/>
  <c r="M123" i="9"/>
  <c r="L123" i="9"/>
  <c r="K123" i="9"/>
  <c r="J123" i="9"/>
  <c r="I123" i="9"/>
  <c r="H123" i="9"/>
  <c r="G123" i="9"/>
  <c r="F123" i="9"/>
  <c r="E123" i="9"/>
  <c r="W122" i="9"/>
  <c r="V122" i="9"/>
  <c r="U122" i="9"/>
  <c r="C83" i="3" s="1"/>
  <c r="T122" i="9"/>
  <c r="B83" i="3" s="1"/>
  <c r="S122" i="9"/>
  <c r="R122" i="9"/>
  <c r="Q122" i="9"/>
  <c r="P122" i="9"/>
  <c r="O122" i="9"/>
  <c r="N122" i="9"/>
  <c r="M122" i="9"/>
  <c r="L122" i="9"/>
  <c r="K122" i="9"/>
  <c r="J122" i="9"/>
  <c r="I122" i="9"/>
  <c r="H122" i="9"/>
  <c r="G122" i="9"/>
  <c r="F122" i="9"/>
  <c r="E122" i="9"/>
  <c r="W121" i="9"/>
  <c r="V121" i="9"/>
  <c r="U121" i="9"/>
  <c r="C82" i="3" s="1"/>
  <c r="T121" i="9"/>
  <c r="B82" i="3" s="1"/>
  <c r="S121" i="9"/>
  <c r="R121" i="9"/>
  <c r="Q121" i="9"/>
  <c r="P121" i="9"/>
  <c r="O121" i="9"/>
  <c r="N121" i="9"/>
  <c r="M121" i="9"/>
  <c r="L121" i="9"/>
  <c r="K121" i="9"/>
  <c r="J121" i="9"/>
  <c r="I121" i="9"/>
  <c r="H121" i="9"/>
  <c r="G121" i="9"/>
  <c r="F121" i="9"/>
  <c r="E121" i="9"/>
  <c r="W120" i="9"/>
  <c r="V120" i="9"/>
  <c r="U120" i="9"/>
  <c r="C81" i="3" s="1"/>
  <c r="T120" i="9"/>
  <c r="B81" i="3" s="1"/>
  <c r="S120" i="9"/>
  <c r="R120" i="9"/>
  <c r="Q120" i="9"/>
  <c r="P120" i="9"/>
  <c r="O120" i="9"/>
  <c r="N120" i="9"/>
  <c r="M120" i="9"/>
  <c r="L120" i="9"/>
  <c r="K120" i="9"/>
  <c r="J120" i="9"/>
  <c r="I120" i="9"/>
  <c r="H120" i="9"/>
  <c r="G120" i="9"/>
  <c r="F120" i="9"/>
  <c r="E120" i="9"/>
  <c r="W119" i="9"/>
  <c r="V119" i="9"/>
  <c r="U119" i="9"/>
  <c r="C80" i="3" s="1"/>
  <c r="T119" i="9"/>
  <c r="B80" i="3" s="1"/>
  <c r="S119" i="9"/>
  <c r="R119" i="9"/>
  <c r="Q119" i="9"/>
  <c r="P119" i="9"/>
  <c r="O119" i="9"/>
  <c r="N119" i="9"/>
  <c r="M119" i="9"/>
  <c r="L119" i="9"/>
  <c r="K119" i="9"/>
  <c r="J119" i="9"/>
  <c r="I119" i="9"/>
  <c r="H119" i="9"/>
  <c r="G119" i="9"/>
  <c r="F119" i="9"/>
  <c r="E119" i="9"/>
  <c r="W118" i="9"/>
  <c r="V118" i="9"/>
  <c r="U118" i="9"/>
  <c r="C79" i="3" s="1"/>
  <c r="T118" i="9"/>
  <c r="B79" i="3" s="1"/>
  <c r="S118" i="9"/>
  <c r="R118" i="9"/>
  <c r="Q118" i="9"/>
  <c r="P118" i="9"/>
  <c r="O118" i="9"/>
  <c r="N118" i="9"/>
  <c r="M118" i="9"/>
  <c r="L118" i="9"/>
  <c r="K118" i="9"/>
  <c r="J118" i="9"/>
  <c r="I118" i="9"/>
  <c r="H118" i="9"/>
  <c r="G118" i="9"/>
  <c r="F118" i="9"/>
  <c r="E118" i="9"/>
  <c r="W117" i="9"/>
  <c r="V117" i="9"/>
  <c r="U117" i="9"/>
  <c r="C78" i="3" s="1"/>
  <c r="T117" i="9"/>
  <c r="B78" i="3" s="1"/>
  <c r="S117" i="9"/>
  <c r="R117" i="9"/>
  <c r="Q117" i="9"/>
  <c r="P117" i="9"/>
  <c r="O117" i="9"/>
  <c r="N117" i="9"/>
  <c r="M117" i="9"/>
  <c r="L117" i="9"/>
  <c r="K117" i="9"/>
  <c r="J117" i="9"/>
  <c r="I117" i="9"/>
  <c r="H117" i="9"/>
  <c r="G117" i="9"/>
  <c r="F117" i="9"/>
  <c r="E117" i="9"/>
  <c r="W116" i="9"/>
  <c r="V116" i="9"/>
  <c r="U116" i="9"/>
  <c r="C77" i="3" s="1"/>
  <c r="T116" i="9"/>
  <c r="B77" i="3" s="1"/>
  <c r="S116" i="9"/>
  <c r="R116" i="9"/>
  <c r="Q116" i="9"/>
  <c r="P116" i="9"/>
  <c r="O116" i="9"/>
  <c r="N116" i="9"/>
  <c r="M116" i="9"/>
  <c r="L116" i="9"/>
  <c r="K116" i="9"/>
  <c r="J116" i="9"/>
  <c r="I116" i="9"/>
  <c r="H116" i="9"/>
  <c r="G116" i="9"/>
  <c r="F116" i="9"/>
  <c r="E116" i="9"/>
  <c r="W115" i="9"/>
  <c r="V115" i="9"/>
  <c r="U115" i="9"/>
  <c r="C76" i="3" s="1"/>
  <c r="T115" i="9"/>
  <c r="B76" i="3" s="1"/>
  <c r="S115" i="9"/>
  <c r="R115" i="9"/>
  <c r="Q115" i="9"/>
  <c r="P115" i="9"/>
  <c r="O115" i="9"/>
  <c r="N115" i="9"/>
  <c r="M115" i="9"/>
  <c r="L115" i="9"/>
  <c r="K115" i="9"/>
  <c r="J115" i="9"/>
  <c r="I115" i="9"/>
  <c r="H115" i="9"/>
  <c r="G115" i="9"/>
  <c r="F115" i="9"/>
  <c r="E115" i="9"/>
  <c r="W114" i="9"/>
  <c r="V114" i="9"/>
  <c r="U114" i="9"/>
  <c r="C75" i="3" s="1"/>
  <c r="T114" i="9"/>
  <c r="B75" i="3" s="1"/>
  <c r="S114" i="9"/>
  <c r="R114" i="9"/>
  <c r="Q114" i="9"/>
  <c r="P114" i="9"/>
  <c r="O114" i="9"/>
  <c r="N114" i="9"/>
  <c r="M114" i="9"/>
  <c r="L114" i="9"/>
  <c r="K114" i="9"/>
  <c r="J114" i="9"/>
  <c r="I114" i="9"/>
  <c r="H114" i="9"/>
  <c r="G114" i="9"/>
  <c r="F114" i="9"/>
  <c r="E114" i="9"/>
  <c r="W113" i="9"/>
  <c r="V113" i="9"/>
  <c r="U113" i="9"/>
  <c r="C74" i="3" s="1"/>
  <c r="T113" i="9"/>
  <c r="B74" i="3" s="1"/>
  <c r="S113" i="9"/>
  <c r="R113" i="9"/>
  <c r="Q113" i="9"/>
  <c r="P113" i="9"/>
  <c r="O113" i="9"/>
  <c r="N113" i="9"/>
  <c r="M113" i="9"/>
  <c r="L113" i="9"/>
  <c r="K113" i="9"/>
  <c r="J113" i="9"/>
  <c r="I113" i="9"/>
  <c r="H113" i="9"/>
  <c r="G113" i="9"/>
  <c r="F113" i="9"/>
  <c r="E113" i="9"/>
  <c r="W112" i="9"/>
  <c r="V112" i="9"/>
  <c r="U112" i="9"/>
  <c r="C73" i="3" s="1"/>
  <c r="T112" i="9"/>
  <c r="B73" i="3" s="1"/>
  <c r="S112" i="9"/>
  <c r="R112" i="9"/>
  <c r="Q112" i="9"/>
  <c r="P112" i="9"/>
  <c r="O112" i="9"/>
  <c r="N112" i="9"/>
  <c r="M112" i="9"/>
  <c r="L112" i="9"/>
  <c r="K112" i="9"/>
  <c r="J112" i="9"/>
  <c r="I112" i="9"/>
  <c r="H112" i="9"/>
  <c r="G112" i="9"/>
  <c r="F112" i="9"/>
  <c r="E112" i="9"/>
  <c r="W111" i="9"/>
  <c r="V111" i="9"/>
  <c r="U111" i="9"/>
  <c r="C72" i="3" s="1"/>
  <c r="T111" i="9"/>
  <c r="B72" i="3" s="1"/>
  <c r="S111" i="9"/>
  <c r="R111" i="9"/>
  <c r="Q111" i="9"/>
  <c r="P111" i="9"/>
  <c r="O111" i="9"/>
  <c r="N111" i="9"/>
  <c r="M111" i="9"/>
  <c r="L111" i="9"/>
  <c r="K111" i="9"/>
  <c r="J111" i="9"/>
  <c r="I111" i="9"/>
  <c r="H111" i="9"/>
  <c r="G111" i="9"/>
  <c r="F111" i="9"/>
  <c r="E111" i="9"/>
  <c r="W110" i="9"/>
  <c r="V110" i="9"/>
  <c r="U110" i="9"/>
  <c r="C71" i="3" s="1"/>
  <c r="T110" i="9"/>
  <c r="B71" i="3" s="1"/>
  <c r="S110" i="9"/>
  <c r="R110" i="9"/>
  <c r="Q110" i="9"/>
  <c r="P110" i="9"/>
  <c r="O110" i="9"/>
  <c r="N110" i="9"/>
  <c r="M110" i="9"/>
  <c r="L110" i="9"/>
  <c r="K110" i="9"/>
  <c r="J110" i="9"/>
  <c r="I110" i="9"/>
  <c r="H110" i="9"/>
  <c r="G110" i="9"/>
  <c r="F110" i="9"/>
  <c r="E110" i="9"/>
  <c r="W109" i="9"/>
  <c r="V109" i="9"/>
  <c r="U109" i="9"/>
  <c r="C70" i="3" s="1"/>
  <c r="T109" i="9"/>
  <c r="B70" i="3" s="1"/>
  <c r="S109" i="9"/>
  <c r="R109" i="9"/>
  <c r="Q109" i="9"/>
  <c r="P109" i="9"/>
  <c r="O109" i="9"/>
  <c r="N109" i="9"/>
  <c r="M109" i="9"/>
  <c r="L109" i="9"/>
  <c r="K109" i="9"/>
  <c r="J109" i="9"/>
  <c r="I109" i="9"/>
  <c r="H109" i="9"/>
  <c r="G109" i="9"/>
  <c r="F109" i="9"/>
  <c r="E109" i="9"/>
  <c r="W108" i="9"/>
  <c r="V108" i="9"/>
  <c r="U108" i="9"/>
  <c r="C69" i="3" s="1"/>
  <c r="T108" i="9"/>
  <c r="B69" i="3" s="1"/>
  <c r="S108" i="9"/>
  <c r="R108" i="9"/>
  <c r="Q108" i="9"/>
  <c r="P108" i="9"/>
  <c r="O108" i="9"/>
  <c r="N108" i="9"/>
  <c r="M108" i="9"/>
  <c r="L108" i="9"/>
  <c r="K108" i="9"/>
  <c r="J108" i="9"/>
  <c r="I108" i="9"/>
  <c r="H108" i="9"/>
  <c r="G108" i="9"/>
  <c r="F108" i="9"/>
  <c r="E108" i="9"/>
  <c r="W107" i="9"/>
  <c r="V107" i="9"/>
  <c r="U107" i="9"/>
  <c r="C68" i="3" s="1"/>
  <c r="T107" i="9"/>
  <c r="B68" i="3" s="1"/>
  <c r="S107" i="9"/>
  <c r="R107" i="9"/>
  <c r="Q107" i="9"/>
  <c r="P107" i="9"/>
  <c r="O107" i="9"/>
  <c r="N107" i="9"/>
  <c r="M107" i="9"/>
  <c r="L107" i="9"/>
  <c r="K107" i="9"/>
  <c r="J107" i="9"/>
  <c r="I107" i="9"/>
  <c r="H107" i="9"/>
  <c r="G107" i="9"/>
  <c r="F107" i="9"/>
  <c r="E107" i="9"/>
  <c r="W106" i="9"/>
  <c r="V106" i="9"/>
  <c r="U106" i="9"/>
  <c r="C67" i="3" s="1"/>
  <c r="T106" i="9"/>
  <c r="B67" i="3" s="1"/>
  <c r="S106" i="9"/>
  <c r="R106" i="9"/>
  <c r="Q106" i="9"/>
  <c r="P106" i="9"/>
  <c r="O106" i="9"/>
  <c r="N106" i="9"/>
  <c r="M106" i="9"/>
  <c r="L106" i="9"/>
  <c r="K106" i="9"/>
  <c r="J106" i="9"/>
  <c r="I106" i="9"/>
  <c r="H106" i="9"/>
  <c r="G106" i="9"/>
  <c r="F106" i="9"/>
  <c r="E106" i="9"/>
  <c r="W105" i="9"/>
  <c r="V105" i="9"/>
  <c r="U105" i="9"/>
  <c r="C66" i="3" s="1"/>
  <c r="T105" i="9"/>
  <c r="B66" i="3" s="1"/>
  <c r="S105" i="9"/>
  <c r="R105" i="9"/>
  <c r="Q105" i="9"/>
  <c r="P105" i="9"/>
  <c r="O105" i="9"/>
  <c r="N105" i="9"/>
  <c r="M105" i="9"/>
  <c r="L105" i="9"/>
  <c r="K105" i="9"/>
  <c r="J105" i="9"/>
  <c r="I105" i="9"/>
  <c r="H105" i="9"/>
  <c r="G105" i="9"/>
  <c r="F105" i="9"/>
  <c r="E105" i="9"/>
  <c r="W104" i="9"/>
  <c r="V104" i="9"/>
  <c r="U104" i="9"/>
  <c r="C65" i="3" s="1"/>
  <c r="T104" i="9"/>
  <c r="B65" i="3" s="1"/>
  <c r="S104" i="9"/>
  <c r="R104" i="9"/>
  <c r="Q104" i="9"/>
  <c r="P104" i="9"/>
  <c r="O104" i="9"/>
  <c r="N104" i="9"/>
  <c r="M104" i="9"/>
  <c r="L104" i="9"/>
  <c r="K104" i="9"/>
  <c r="J104" i="9"/>
  <c r="I104" i="9"/>
  <c r="H104" i="9"/>
  <c r="G104" i="9"/>
  <c r="F104" i="9"/>
  <c r="E104" i="9"/>
  <c r="W103" i="9"/>
  <c r="V103" i="9"/>
  <c r="U103" i="9"/>
  <c r="C64" i="3" s="1"/>
  <c r="T103" i="9"/>
  <c r="B64" i="3" s="1"/>
  <c r="S103" i="9"/>
  <c r="R103" i="9"/>
  <c r="Q103" i="9"/>
  <c r="P103" i="9"/>
  <c r="O103" i="9"/>
  <c r="N103" i="9"/>
  <c r="M103" i="9"/>
  <c r="L103" i="9"/>
  <c r="K103" i="9"/>
  <c r="J103" i="9"/>
  <c r="I103" i="9"/>
  <c r="H103" i="9"/>
  <c r="G103" i="9"/>
  <c r="F103" i="9"/>
  <c r="E103" i="9"/>
  <c r="W102" i="9"/>
  <c r="V102" i="9"/>
  <c r="U102" i="9"/>
  <c r="C63" i="3" s="1"/>
  <c r="T102" i="9"/>
  <c r="B63" i="3" s="1"/>
  <c r="S102" i="9"/>
  <c r="R102" i="9"/>
  <c r="Q102" i="9"/>
  <c r="P102" i="9"/>
  <c r="O102" i="9"/>
  <c r="N102" i="9"/>
  <c r="M102" i="9"/>
  <c r="L102" i="9"/>
  <c r="K102" i="9"/>
  <c r="J102" i="9"/>
  <c r="I102" i="9"/>
  <c r="H102" i="9"/>
  <c r="G102" i="9"/>
  <c r="F102" i="9"/>
  <c r="E102" i="9"/>
  <c r="W101" i="9"/>
  <c r="V101" i="9"/>
  <c r="U101" i="9"/>
  <c r="C62" i="3" s="1"/>
  <c r="T101" i="9"/>
  <c r="B62" i="3" s="1"/>
  <c r="S101" i="9"/>
  <c r="R101" i="9"/>
  <c r="Q101" i="9"/>
  <c r="P101" i="9"/>
  <c r="O101" i="9"/>
  <c r="N101" i="9"/>
  <c r="M101" i="9"/>
  <c r="L101" i="9"/>
  <c r="K101" i="9"/>
  <c r="J101" i="9"/>
  <c r="I101" i="9"/>
  <c r="H101" i="9"/>
  <c r="G101" i="9"/>
  <c r="F101" i="9"/>
  <c r="E101" i="9"/>
  <c r="B101" i="9"/>
  <c r="B102" i="9" s="1"/>
  <c r="B103" i="9" s="1"/>
  <c r="B104" i="9" s="1"/>
  <c r="B105" i="9" s="1"/>
  <c r="B106" i="9" s="1"/>
  <c r="B107" i="9" s="1"/>
  <c r="B108" i="9" s="1"/>
  <c r="B109" i="9" s="1"/>
  <c r="B110" i="9" s="1"/>
  <c r="B111" i="9" s="1"/>
  <c r="B112" i="9" s="1"/>
  <c r="B113" i="9" s="1"/>
  <c r="B114" i="9" s="1"/>
  <c r="B115" i="9" s="1"/>
  <c r="B116" i="9" s="1"/>
  <c r="B117" i="9" s="1"/>
  <c r="B118" i="9" s="1"/>
  <c r="B119" i="9" s="1"/>
  <c r="B120" i="9" s="1"/>
  <c r="B121" i="9" s="1"/>
  <c r="B122" i="9" s="1"/>
  <c r="B123" i="9" s="1"/>
  <c r="B124" i="9" s="1"/>
  <c r="B125" i="9" s="1"/>
  <c r="B126" i="9" s="1"/>
  <c r="B127" i="9" s="1"/>
  <c r="B128" i="9" s="1"/>
  <c r="B129" i="9" s="1"/>
  <c r="B130" i="9" s="1"/>
  <c r="B131" i="9" s="1"/>
  <c r="B132" i="9" s="1"/>
  <c r="B133" i="9" s="1"/>
  <c r="B134" i="9" s="1"/>
  <c r="B135" i="9" s="1"/>
  <c r="B136" i="9" s="1"/>
  <c r="B137" i="9" s="1"/>
  <c r="B138" i="9" s="1"/>
  <c r="B139" i="9" s="1"/>
  <c r="A100" i="3" s="1"/>
  <c r="W100" i="9"/>
  <c r="V100" i="9"/>
  <c r="U100" i="9"/>
  <c r="C61" i="3" s="1"/>
  <c r="T100" i="9"/>
  <c r="B61" i="3" s="1"/>
  <c r="S100" i="9"/>
  <c r="R100" i="9"/>
  <c r="Q100" i="9"/>
  <c r="P100" i="9"/>
  <c r="O100" i="9"/>
  <c r="N100" i="9"/>
  <c r="M100" i="9"/>
  <c r="L100" i="9"/>
  <c r="K100" i="9"/>
  <c r="J100" i="9"/>
  <c r="I100" i="9"/>
  <c r="H100" i="9"/>
  <c r="G100" i="9"/>
  <c r="F100" i="9"/>
  <c r="E100" i="9"/>
  <c r="W99" i="9"/>
  <c r="V99" i="9"/>
  <c r="U99" i="9"/>
  <c r="C60" i="3" s="1"/>
  <c r="T99" i="9"/>
  <c r="B60" i="3" s="1"/>
  <c r="S99" i="9"/>
  <c r="R99" i="9"/>
  <c r="Q99" i="9"/>
  <c r="P99" i="9"/>
  <c r="O99" i="9"/>
  <c r="N99" i="9"/>
  <c r="M99" i="9"/>
  <c r="L99" i="9"/>
  <c r="K99" i="9"/>
  <c r="J99" i="9"/>
  <c r="I99" i="9"/>
  <c r="H99" i="9"/>
  <c r="G99" i="9"/>
  <c r="F99" i="9"/>
  <c r="E99" i="9"/>
  <c r="W98" i="9"/>
  <c r="V98" i="9"/>
  <c r="U98" i="9"/>
  <c r="C59" i="3" s="1"/>
  <c r="T98" i="9"/>
  <c r="B59" i="3" s="1"/>
  <c r="S98" i="9"/>
  <c r="R98" i="9"/>
  <c r="Q98" i="9"/>
  <c r="P98" i="9"/>
  <c r="O98" i="9"/>
  <c r="N98" i="9"/>
  <c r="M98" i="9"/>
  <c r="L98" i="9"/>
  <c r="K98" i="9"/>
  <c r="J98" i="9"/>
  <c r="I98" i="9"/>
  <c r="H98" i="9"/>
  <c r="G98" i="9"/>
  <c r="F98" i="9"/>
  <c r="E98" i="9"/>
  <c r="W97" i="9"/>
  <c r="V97" i="9"/>
  <c r="U97" i="9"/>
  <c r="C58" i="3" s="1"/>
  <c r="T97" i="9"/>
  <c r="B58" i="3" s="1"/>
  <c r="S97" i="9"/>
  <c r="R97" i="9"/>
  <c r="Q97" i="9"/>
  <c r="P97" i="9"/>
  <c r="O97" i="9"/>
  <c r="N97" i="9"/>
  <c r="M97" i="9"/>
  <c r="L97" i="9"/>
  <c r="K97" i="9"/>
  <c r="J97" i="9"/>
  <c r="I97" i="9"/>
  <c r="H97" i="9"/>
  <c r="G97" i="9"/>
  <c r="F97" i="9"/>
  <c r="E97" i="9"/>
  <c r="W96" i="9"/>
  <c r="V96" i="9"/>
  <c r="U96" i="9"/>
  <c r="C57" i="3" s="1"/>
  <c r="T96" i="9"/>
  <c r="B57" i="3" s="1"/>
  <c r="S96" i="9"/>
  <c r="R96" i="9"/>
  <c r="Q96" i="9"/>
  <c r="P96" i="9"/>
  <c r="O96" i="9"/>
  <c r="N96" i="9"/>
  <c r="M96" i="9"/>
  <c r="L96" i="9"/>
  <c r="K96" i="9"/>
  <c r="J96" i="9"/>
  <c r="I96" i="9"/>
  <c r="H96" i="9"/>
  <c r="G96" i="9"/>
  <c r="F96" i="9"/>
  <c r="E96" i="9"/>
  <c r="W95" i="9"/>
  <c r="V95" i="9"/>
  <c r="U95" i="9"/>
  <c r="C56" i="3" s="1"/>
  <c r="T95" i="9"/>
  <c r="B56" i="3" s="1"/>
  <c r="S95" i="9"/>
  <c r="R95" i="9"/>
  <c r="Q95" i="9"/>
  <c r="P95" i="9"/>
  <c r="O95" i="9"/>
  <c r="N95" i="9"/>
  <c r="M95" i="9"/>
  <c r="L95" i="9"/>
  <c r="K95" i="9"/>
  <c r="J95" i="9"/>
  <c r="I95" i="9"/>
  <c r="H95" i="9"/>
  <c r="G95" i="9"/>
  <c r="F95" i="9"/>
  <c r="E95" i="9"/>
  <c r="W94" i="9"/>
  <c r="V94" i="9"/>
  <c r="U94" i="9"/>
  <c r="C55" i="3" s="1"/>
  <c r="T94" i="9"/>
  <c r="B55" i="3" s="1"/>
  <c r="S94" i="9"/>
  <c r="R94" i="9"/>
  <c r="Q94" i="9"/>
  <c r="P94" i="9"/>
  <c r="O94" i="9"/>
  <c r="N94" i="9"/>
  <c r="M94" i="9"/>
  <c r="L94" i="9"/>
  <c r="K94" i="9"/>
  <c r="J94" i="9"/>
  <c r="I94" i="9"/>
  <c r="H94" i="9"/>
  <c r="G94" i="9"/>
  <c r="F94" i="9"/>
  <c r="E94" i="9"/>
  <c r="W93" i="9"/>
  <c r="V93" i="9"/>
  <c r="U93" i="9"/>
  <c r="C54" i="3" s="1"/>
  <c r="T93" i="9"/>
  <c r="B54" i="3" s="1"/>
  <c r="S93" i="9"/>
  <c r="R93" i="9"/>
  <c r="Q93" i="9"/>
  <c r="P93" i="9"/>
  <c r="O93" i="9"/>
  <c r="N93" i="9"/>
  <c r="M93" i="9"/>
  <c r="L93" i="9"/>
  <c r="K93" i="9"/>
  <c r="J93" i="9"/>
  <c r="I93" i="9"/>
  <c r="H93" i="9"/>
  <c r="G93" i="9"/>
  <c r="F93" i="9"/>
  <c r="E93" i="9"/>
  <c r="W92" i="9"/>
  <c r="V92" i="9"/>
  <c r="U92" i="9"/>
  <c r="C53" i="3" s="1"/>
  <c r="T92" i="9"/>
  <c r="B53" i="3" s="1"/>
  <c r="S92" i="9"/>
  <c r="R92" i="9"/>
  <c r="Q92" i="9"/>
  <c r="P92" i="9"/>
  <c r="O92" i="9"/>
  <c r="N92" i="9"/>
  <c r="M92" i="9"/>
  <c r="L92" i="9"/>
  <c r="K92" i="9"/>
  <c r="J92" i="9"/>
  <c r="I92" i="9"/>
  <c r="H92" i="9"/>
  <c r="G92" i="9"/>
  <c r="F92" i="9"/>
  <c r="E92" i="9"/>
  <c r="W91" i="9"/>
  <c r="V91" i="9"/>
  <c r="U91" i="9"/>
  <c r="C52" i="3" s="1"/>
  <c r="T91" i="9"/>
  <c r="B52" i="3" s="1"/>
  <c r="S91" i="9"/>
  <c r="R91" i="9"/>
  <c r="Q91" i="9"/>
  <c r="P91" i="9"/>
  <c r="O91" i="9"/>
  <c r="N91" i="9"/>
  <c r="M91" i="9"/>
  <c r="L91" i="9"/>
  <c r="K91" i="9"/>
  <c r="J91" i="9"/>
  <c r="I91" i="9"/>
  <c r="H91" i="9"/>
  <c r="G91" i="9"/>
  <c r="F91" i="9"/>
  <c r="E91" i="9"/>
  <c r="W90" i="9"/>
  <c r="V90" i="9"/>
  <c r="U90" i="9"/>
  <c r="C51" i="3" s="1"/>
  <c r="T90" i="9"/>
  <c r="B51" i="3" s="1"/>
  <c r="S90" i="9"/>
  <c r="R90" i="9"/>
  <c r="Q90" i="9"/>
  <c r="P90" i="9"/>
  <c r="O90" i="9"/>
  <c r="N90" i="9"/>
  <c r="M90" i="9"/>
  <c r="L90" i="9"/>
  <c r="K90" i="9"/>
  <c r="J90" i="9"/>
  <c r="I90" i="9"/>
  <c r="H90" i="9"/>
  <c r="G90" i="9"/>
  <c r="F90" i="9"/>
  <c r="E90" i="9"/>
  <c r="W89" i="9"/>
  <c r="V89" i="9"/>
  <c r="U89" i="9"/>
  <c r="C50" i="3" s="1"/>
  <c r="T89" i="9"/>
  <c r="B50" i="3" s="1"/>
  <c r="S89" i="9"/>
  <c r="R89" i="9"/>
  <c r="Q89" i="9"/>
  <c r="P89" i="9"/>
  <c r="O89" i="9"/>
  <c r="N89" i="9"/>
  <c r="M89" i="9"/>
  <c r="L89" i="9"/>
  <c r="K89" i="9"/>
  <c r="J89" i="9"/>
  <c r="I89" i="9"/>
  <c r="H89" i="9"/>
  <c r="G89" i="9"/>
  <c r="F89" i="9"/>
  <c r="E89" i="9"/>
  <c r="W88" i="9"/>
  <c r="V88" i="9"/>
  <c r="U88" i="9"/>
  <c r="C49" i="3" s="1"/>
  <c r="T88" i="9"/>
  <c r="B49" i="3" s="1"/>
  <c r="S88" i="9"/>
  <c r="R88" i="9"/>
  <c r="Q88" i="9"/>
  <c r="P88" i="9"/>
  <c r="O88" i="9"/>
  <c r="N88" i="9"/>
  <c r="M88" i="9"/>
  <c r="L88" i="9"/>
  <c r="K88" i="9"/>
  <c r="J88" i="9"/>
  <c r="I88" i="9"/>
  <c r="H88" i="9"/>
  <c r="G88" i="9"/>
  <c r="F88" i="9"/>
  <c r="E88" i="9"/>
  <c r="W87" i="9"/>
  <c r="V87" i="9"/>
  <c r="U87" i="9"/>
  <c r="C48" i="3" s="1"/>
  <c r="T87" i="9"/>
  <c r="B48" i="3" s="1"/>
  <c r="S87" i="9"/>
  <c r="R87" i="9"/>
  <c r="Q87" i="9"/>
  <c r="P87" i="9"/>
  <c r="O87" i="9"/>
  <c r="N87" i="9"/>
  <c r="M87" i="9"/>
  <c r="L87" i="9"/>
  <c r="K87" i="9"/>
  <c r="J87" i="9"/>
  <c r="I87" i="9"/>
  <c r="H87" i="9"/>
  <c r="G87" i="9"/>
  <c r="F87" i="9"/>
  <c r="E87" i="9"/>
  <c r="W86" i="9"/>
  <c r="V86" i="9"/>
  <c r="U86" i="9"/>
  <c r="C47" i="3" s="1"/>
  <c r="T86" i="9"/>
  <c r="B47" i="3" s="1"/>
  <c r="S86" i="9"/>
  <c r="R86" i="9"/>
  <c r="Q86" i="9"/>
  <c r="P86" i="9"/>
  <c r="O86" i="9"/>
  <c r="N86" i="9"/>
  <c r="M86" i="9"/>
  <c r="L86" i="9"/>
  <c r="K86" i="9"/>
  <c r="J86" i="9"/>
  <c r="I86" i="9"/>
  <c r="H86" i="9"/>
  <c r="G86" i="9"/>
  <c r="F86" i="9"/>
  <c r="E86" i="9"/>
  <c r="W85" i="9"/>
  <c r="V85" i="9"/>
  <c r="U85" i="9"/>
  <c r="C46" i="3" s="1"/>
  <c r="T85" i="9"/>
  <c r="B46" i="3" s="1"/>
  <c r="S85" i="9"/>
  <c r="R85" i="9"/>
  <c r="Q85" i="9"/>
  <c r="P85" i="9"/>
  <c r="O85" i="9"/>
  <c r="N85" i="9"/>
  <c r="M85" i="9"/>
  <c r="L85" i="9"/>
  <c r="K85" i="9"/>
  <c r="J85" i="9"/>
  <c r="I85" i="9"/>
  <c r="H85" i="9"/>
  <c r="G85" i="9"/>
  <c r="F85" i="9"/>
  <c r="E85" i="9"/>
  <c r="W84" i="9"/>
  <c r="V84" i="9"/>
  <c r="U84" i="9"/>
  <c r="C45" i="3" s="1"/>
  <c r="T84" i="9"/>
  <c r="B45" i="3" s="1"/>
  <c r="S84" i="9"/>
  <c r="R84" i="9"/>
  <c r="Q84" i="9"/>
  <c r="P84" i="9"/>
  <c r="O84" i="9"/>
  <c r="N84" i="9"/>
  <c r="M84" i="9"/>
  <c r="L84" i="9"/>
  <c r="K84" i="9"/>
  <c r="J84" i="9"/>
  <c r="I84" i="9"/>
  <c r="H84" i="9"/>
  <c r="G84" i="9"/>
  <c r="F84" i="9"/>
  <c r="E84" i="9"/>
  <c r="W83" i="9"/>
  <c r="V83" i="9"/>
  <c r="U83" i="9"/>
  <c r="C44" i="3" s="1"/>
  <c r="T83" i="9"/>
  <c r="B44" i="3" s="1"/>
  <c r="S83" i="9"/>
  <c r="R83" i="9"/>
  <c r="Q83" i="9"/>
  <c r="P83" i="9"/>
  <c r="O83" i="9"/>
  <c r="N83" i="9"/>
  <c r="M83" i="9"/>
  <c r="L83" i="9"/>
  <c r="K83" i="9"/>
  <c r="J83" i="9"/>
  <c r="I83" i="9"/>
  <c r="H83" i="9"/>
  <c r="G83" i="9"/>
  <c r="F83" i="9"/>
  <c r="E83" i="9"/>
  <c r="W82" i="9"/>
  <c r="V82" i="9"/>
  <c r="U82" i="9"/>
  <c r="C43" i="3" s="1"/>
  <c r="T82" i="9"/>
  <c r="B43" i="3" s="1"/>
  <c r="S82" i="9"/>
  <c r="R82" i="9"/>
  <c r="Q82" i="9"/>
  <c r="P82" i="9"/>
  <c r="O82" i="9"/>
  <c r="N82" i="9"/>
  <c r="M82" i="9"/>
  <c r="L82" i="9"/>
  <c r="K82" i="9"/>
  <c r="J82" i="9"/>
  <c r="I82" i="9"/>
  <c r="H82" i="9"/>
  <c r="G82" i="9"/>
  <c r="F82" i="9"/>
  <c r="E82" i="9"/>
  <c r="W81" i="9"/>
  <c r="V81" i="9"/>
  <c r="U81" i="9"/>
  <c r="C42" i="3" s="1"/>
  <c r="T81" i="9"/>
  <c r="B42" i="3" s="1"/>
  <c r="S81" i="9"/>
  <c r="R81" i="9"/>
  <c r="Q81" i="9"/>
  <c r="P81" i="9"/>
  <c r="O81" i="9"/>
  <c r="N81" i="9"/>
  <c r="M81" i="9"/>
  <c r="L81" i="9"/>
  <c r="K81" i="9"/>
  <c r="J81" i="9"/>
  <c r="I81" i="9"/>
  <c r="H81" i="9"/>
  <c r="G81" i="9"/>
  <c r="F81" i="9"/>
  <c r="E81" i="9"/>
  <c r="W80" i="9"/>
  <c r="V80" i="9"/>
  <c r="U80" i="9"/>
  <c r="C41" i="3" s="1"/>
  <c r="T80" i="9"/>
  <c r="B41" i="3" s="1"/>
  <c r="S80" i="9"/>
  <c r="R80" i="9"/>
  <c r="Q80" i="9"/>
  <c r="P80" i="9"/>
  <c r="O80" i="9"/>
  <c r="N80" i="9"/>
  <c r="M80" i="9"/>
  <c r="L80" i="9"/>
  <c r="K80" i="9"/>
  <c r="J80" i="9"/>
  <c r="I80" i="9"/>
  <c r="H80" i="9"/>
  <c r="G80" i="9"/>
  <c r="F80" i="9"/>
  <c r="E80" i="9"/>
  <c r="W79" i="9"/>
  <c r="V79" i="9"/>
  <c r="U79" i="9"/>
  <c r="C40" i="3" s="1"/>
  <c r="T79" i="9"/>
  <c r="B40" i="3" s="1"/>
  <c r="S79" i="9"/>
  <c r="R79" i="9"/>
  <c r="Q79" i="9"/>
  <c r="P79" i="9"/>
  <c r="O79" i="9"/>
  <c r="N79" i="9"/>
  <c r="M79" i="9"/>
  <c r="L79" i="9"/>
  <c r="K79" i="9"/>
  <c r="J79" i="9"/>
  <c r="I79" i="9"/>
  <c r="H79" i="9"/>
  <c r="G79" i="9"/>
  <c r="F79" i="9"/>
  <c r="E79" i="9"/>
  <c r="W78" i="9"/>
  <c r="V78" i="9"/>
  <c r="U78" i="9"/>
  <c r="C39" i="3" s="1"/>
  <c r="T78" i="9"/>
  <c r="B39" i="3" s="1"/>
  <c r="S78" i="9"/>
  <c r="R78" i="9"/>
  <c r="Q78" i="9"/>
  <c r="P78" i="9"/>
  <c r="O78" i="9"/>
  <c r="N78" i="9"/>
  <c r="M78" i="9"/>
  <c r="L78" i="9"/>
  <c r="K78" i="9"/>
  <c r="J78" i="9"/>
  <c r="I78" i="9"/>
  <c r="H78" i="9"/>
  <c r="G78" i="9"/>
  <c r="F78" i="9"/>
  <c r="E78" i="9"/>
  <c r="W77" i="9"/>
  <c r="V77" i="9"/>
  <c r="U77" i="9"/>
  <c r="C38" i="3" s="1"/>
  <c r="T77" i="9"/>
  <c r="B38" i="3" s="1"/>
  <c r="S77" i="9"/>
  <c r="R77" i="9"/>
  <c r="Q77" i="9"/>
  <c r="P77" i="9"/>
  <c r="O77" i="9"/>
  <c r="N77" i="9"/>
  <c r="M77" i="9"/>
  <c r="L77" i="9"/>
  <c r="K77" i="9"/>
  <c r="J77" i="9"/>
  <c r="I77" i="9"/>
  <c r="H77" i="9"/>
  <c r="G77" i="9"/>
  <c r="F77" i="9"/>
  <c r="E77" i="9"/>
  <c r="W76" i="9"/>
  <c r="V76" i="9"/>
  <c r="U76" i="9"/>
  <c r="C37" i="3" s="1"/>
  <c r="T76" i="9"/>
  <c r="B37" i="3" s="1"/>
  <c r="S76" i="9"/>
  <c r="R76" i="9"/>
  <c r="Q76" i="9"/>
  <c r="P76" i="9"/>
  <c r="O76" i="9"/>
  <c r="N76" i="9"/>
  <c r="M76" i="9"/>
  <c r="L76" i="9"/>
  <c r="K76" i="9"/>
  <c r="J76" i="9"/>
  <c r="I76" i="9"/>
  <c r="H76" i="9"/>
  <c r="G76" i="9"/>
  <c r="F76" i="9"/>
  <c r="E76" i="9"/>
  <c r="W75" i="9"/>
  <c r="V75" i="9"/>
  <c r="U75" i="9"/>
  <c r="C36" i="3" s="1"/>
  <c r="T75" i="9"/>
  <c r="B36" i="3" s="1"/>
  <c r="S75" i="9"/>
  <c r="R75" i="9"/>
  <c r="Q75" i="9"/>
  <c r="P75" i="9"/>
  <c r="O75" i="9"/>
  <c r="N75" i="9"/>
  <c r="M75" i="9"/>
  <c r="L75" i="9"/>
  <c r="K75" i="9"/>
  <c r="J75" i="9"/>
  <c r="I75" i="9"/>
  <c r="H75" i="9"/>
  <c r="G75" i="9"/>
  <c r="F75" i="9"/>
  <c r="E75" i="9"/>
  <c r="W74" i="9"/>
  <c r="V74" i="9"/>
  <c r="U74" i="9"/>
  <c r="C35" i="3" s="1"/>
  <c r="T74" i="9"/>
  <c r="B35" i="3" s="1"/>
  <c r="S74" i="9"/>
  <c r="R74" i="9"/>
  <c r="Q74" i="9"/>
  <c r="P74" i="9"/>
  <c r="O74" i="9"/>
  <c r="N74" i="9"/>
  <c r="M74" i="9"/>
  <c r="L74" i="9"/>
  <c r="K74" i="9"/>
  <c r="J74" i="9"/>
  <c r="I74" i="9"/>
  <c r="H74" i="9"/>
  <c r="G74" i="9"/>
  <c r="F74" i="9"/>
  <c r="E74" i="9"/>
  <c r="W73" i="9"/>
  <c r="V73" i="9"/>
  <c r="U73" i="9"/>
  <c r="C34" i="3" s="1"/>
  <c r="T73" i="9"/>
  <c r="B34" i="3" s="1"/>
  <c r="S73" i="9"/>
  <c r="R73" i="9"/>
  <c r="Q73" i="9"/>
  <c r="P73" i="9"/>
  <c r="O73" i="9"/>
  <c r="N73" i="9"/>
  <c r="M73" i="9"/>
  <c r="L73" i="9"/>
  <c r="K73" i="9"/>
  <c r="J73" i="9"/>
  <c r="I73" i="9"/>
  <c r="H73" i="9"/>
  <c r="G73" i="9"/>
  <c r="F73" i="9"/>
  <c r="E73" i="9"/>
  <c r="W72" i="9"/>
  <c r="V72" i="9"/>
  <c r="U72" i="9"/>
  <c r="C33" i="3" s="1"/>
  <c r="T72" i="9"/>
  <c r="B33" i="3" s="1"/>
  <c r="S72" i="9"/>
  <c r="R72" i="9"/>
  <c r="Q72" i="9"/>
  <c r="P72" i="9"/>
  <c r="O72" i="9"/>
  <c r="N72" i="9"/>
  <c r="M72" i="9"/>
  <c r="L72" i="9"/>
  <c r="K72" i="9"/>
  <c r="J72" i="9"/>
  <c r="I72" i="9"/>
  <c r="H72" i="9"/>
  <c r="G72" i="9"/>
  <c r="F72" i="9"/>
  <c r="E72" i="9"/>
  <c r="W71" i="9"/>
  <c r="V71" i="9"/>
  <c r="U71" i="9"/>
  <c r="C32" i="3" s="1"/>
  <c r="T71" i="9"/>
  <c r="B32" i="3" s="1"/>
  <c r="S71" i="9"/>
  <c r="R71" i="9"/>
  <c r="Q71" i="9"/>
  <c r="P71" i="9"/>
  <c r="O71" i="9"/>
  <c r="N71" i="9"/>
  <c r="M71" i="9"/>
  <c r="L71" i="9"/>
  <c r="K71" i="9"/>
  <c r="J71" i="9"/>
  <c r="I71" i="9"/>
  <c r="H71" i="9"/>
  <c r="G71" i="9"/>
  <c r="F71" i="9"/>
  <c r="E71" i="9"/>
  <c r="W70" i="9"/>
  <c r="V70" i="9"/>
  <c r="U70" i="9"/>
  <c r="C31" i="3" s="1"/>
  <c r="T70" i="9"/>
  <c r="B31" i="3" s="1"/>
  <c r="S70" i="9"/>
  <c r="R70" i="9"/>
  <c r="Q70" i="9"/>
  <c r="P70" i="9"/>
  <c r="O70" i="9"/>
  <c r="N70" i="9"/>
  <c r="M70" i="9"/>
  <c r="L70" i="9"/>
  <c r="K70" i="9"/>
  <c r="J70" i="9"/>
  <c r="I70" i="9"/>
  <c r="H70" i="9"/>
  <c r="G70" i="9"/>
  <c r="F70" i="9"/>
  <c r="E70" i="9"/>
  <c r="W69" i="9"/>
  <c r="V69" i="9"/>
  <c r="U69" i="9"/>
  <c r="C30" i="3" s="1"/>
  <c r="T69" i="9"/>
  <c r="B30" i="3" s="1"/>
  <c r="S69" i="9"/>
  <c r="R69" i="9"/>
  <c r="Q69" i="9"/>
  <c r="P69" i="9"/>
  <c r="O69" i="9"/>
  <c r="N69" i="9"/>
  <c r="M69" i="9"/>
  <c r="L69" i="9"/>
  <c r="K69" i="9"/>
  <c r="J69" i="9"/>
  <c r="I69" i="9"/>
  <c r="H69" i="9"/>
  <c r="G69" i="9"/>
  <c r="F69" i="9"/>
  <c r="E69" i="9"/>
  <c r="W68" i="9"/>
  <c r="V68" i="9"/>
  <c r="U68" i="9"/>
  <c r="C29" i="3" s="1"/>
  <c r="T68" i="9"/>
  <c r="B29" i="3" s="1"/>
  <c r="S68" i="9"/>
  <c r="R68" i="9"/>
  <c r="Q68" i="9"/>
  <c r="P68" i="9"/>
  <c r="O68" i="9"/>
  <c r="N68" i="9"/>
  <c r="M68" i="9"/>
  <c r="L68" i="9"/>
  <c r="K68" i="9"/>
  <c r="J68" i="9"/>
  <c r="I68" i="9"/>
  <c r="H68" i="9"/>
  <c r="G68" i="9"/>
  <c r="F68" i="9"/>
  <c r="E68" i="9"/>
  <c r="W67" i="9"/>
  <c r="V67" i="9"/>
  <c r="U67" i="9"/>
  <c r="C28" i="3" s="1"/>
  <c r="T67" i="9"/>
  <c r="B28" i="3" s="1"/>
  <c r="S67" i="9"/>
  <c r="R67" i="9"/>
  <c r="Q67" i="9"/>
  <c r="P67" i="9"/>
  <c r="O67" i="9"/>
  <c r="N67" i="9"/>
  <c r="M67" i="9"/>
  <c r="L67" i="9"/>
  <c r="K67" i="9"/>
  <c r="J67" i="9"/>
  <c r="I67" i="9"/>
  <c r="H67" i="9"/>
  <c r="G67" i="9"/>
  <c r="F67" i="9"/>
  <c r="E67" i="9"/>
  <c r="W66" i="9"/>
  <c r="V66" i="9"/>
  <c r="U66" i="9"/>
  <c r="C27" i="3" s="1"/>
  <c r="T66" i="9"/>
  <c r="B27" i="3" s="1"/>
  <c r="S66" i="9"/>
  <c r="R66" i="9"/>
  <c r="Q66" i="9"/>
  <c r="P66" i="9"/>
  <c r="O66" i="9"/>
  <c r="N66" i="9"/>
  <c r="M66" i="9"/>
  <c r="L66" i="9"/>
  <c r="K66" i="9"/>
  <c r="J66" i="9"/>
  <c r="I66" i="9"/>
  <c r="H66" i="9"/>
  <c r="G66" i="9"/>
  <c r="F66" i="9"/>
  <c r="E66" i="9"/>
  <c r="W65" i="9"/>
  <c r="V65" i="9"/>
  <c r="U65" i="9"/>
  <c r="C26" i="3" s="1"/>
  <c r="T65" i="9"/>
  <c r="B26" i="3" s="1"/>
  <c r="S65" i="9"/>
  <c r="R65" i="9"/>
  <c r="Q65" i="9"/>
  <c r="P65" i="9"/>
  <c r="O65" i="9"/>
  <c r="N65" i="9"/>
  <c r="M65" i="9"/>
  <c r="L65" i="9"/>
  <c r="K65" i="9"/>
  <c r="J65" i="9"/>
  <c r="I65" i="9"/>
  <c r="H65" i="9"/>
  <c r="G65" i="9"/>
  <c r="F65" i="9"/>
  <c r="E65" i="9"/>
  <c r="W64" i="9"/>
  <c r="V64" i="9"/>
  <c r="U64" i="9"/>
  <c r="C25" i="3" s="1"/>
  <c r="T64" i="9"/>
  <c r="B25" i="3" s="1"/>
  <c r="S64" i="9"/>
  <c r="R64" i="9"/>
  <c r="Q64" i="9"/>
  <c r="P64" i="9"/>
  <c r="O64" i="9"/>
  <c r="N64" i="9"/>
  <c r="M64" i="9"/>
  <c r="L64" i="9"/>
  <c r="K64" i="9"/>
  <c r="J64" i="9"/>
  <c r="I64" i="9"/>
  <c r="H64" i="9"/>
  <c r="G64" i="9"/>
  <c r="F64" i="9"/>
  <c r="E64" i="9"/>
  <c r="W63" i="9"/>
  <c r="V63" i="9"/>
  <c r="U63" i="9"/>
  <c r="C24" i="3" s="1"/>
  <c r="T63" i="9"/>
  <c r="B24" i="3" s="1"/>
  <c r="S63" i="9"/>
  <c r="R63" i="9"/>
  <c r="Q63" i="9"/>
  <c r="P63" i="9"/>
  <c r="O63" i="9"/>
  <c r="N63" i="9"/>
  <c r="M63" i="9"/>
  <c r="L63" i="9"/>
  <c r="K63" i="9"/>
  <c r="J63" i="9"/>
  <c r="I63" i="9"/>
  <c r="H63" i="9"/>
  <c r="G63" i="9"/>
  <c r="F63" i="9"/>
  <c r="E63" i="9"/>
  <c r="W62" i="9"/>
  <c r="V62" i="9"/>
  <c r="U62" i="9"/>
  <c r="C23" i="3" s="1"/>
  <c r="T62" i="9"/>
  <c r="B23" i="3" s="1"/>
  <c r="S62" i="9"/>
  <c r="R62" i="9"/>
  <c r="Q62" i="9"/>
  <c r="P62" i="9"/>
  <c r="O62" i="9"/>
  <c r="N62" i="9"/>
  <c r="M62" i="9"/>
  <c r="L62" i="9"/>
  <c r="K62" i="9"/>
  <c r="J62" i="9"/>
  <c r="I62" i="9"/>
  <c r="H62" i="9"/>
  <c r="G62" i="9"/>
  <c r="F62" i="9"/>
  <c r="E62" i="9"/>
  <c r="W61" i="9"/>
  <c r="V61" i="9"/>
  <c r="U61" i="9"/>
  <c r="C22" i="3" s="1"/>
  <c r="T61" i="9"/>
  <c r="B22" i="3" s="1"/>
  <c r="S61" i="9"/>
  <c r="R61" i="9"/>
  <c r="Q61" i="9"/>
  <c r="P61" i="9"/>
  <c r="O61" i="9"/>
  <c r="N61" i="9"/>
  <c r="M61" i="9"/>
  <c r="L61" i="9"/>
  <c r="K61" i="9"/>
  <c r="J61" i="9"/>
  <c r="I61" i="9"/>
  <c r="H61" i="9"/>
  <c r="G61" i="9"/>
  <c r="F61" i="9"/>
  <c r="E61" i="9"/>
  <c r="W60" i="9"/>
  <c r="V60" i="9"/>
  <c r="U60" i="9"/>
  <c r="C21" i="3" s="1"/>
  <c r="T60" i="9"/>
  <c r="B21" i="3" s="1"/>
  <c r="S60" i="9"/>
  <c r="R60" i="9"/>
  <c r="Q60" i="9"/>
  <c r="P60" i="9"/>
  <c r="O60" i="9"/>
  <c r="N60" i="9"/>
  <c r="M60" i="9"/>
  <c r="L60" i="9"/>
  <c r="K60" i="9"/>
  <c r="J60" i="9"/>
  <c r="I60" i="9"/>
  <c r="H60" i="9"/>
  <c r="G60" i="9"/>
  <c r="F60" i="9"/>
  <c r="E60" i="9"/>
  <c r="W59" i="9"/>
  <c r="V59" i="9"/>
  <c r="U59" i="9"/>
  <c r="C20" i="3" s="1"/>
  <c r="T59" i="9"/>
  <c r="B20" i="3" s="1"/>
  <c r="S59" i="9"/>
  <c r="R59" i="9"/>
  <c r="Q59" i="9"/>
  <c r="P59" i="9"/>
  <c r="O59" i="9"/>
  <c r="N59" i="9"/>
  <c r="M59" i="9"/>
  <c r="L59" i="9"/>
  <c r="K59" i="9"/>
  <c r="J59" i="9"/>
  <c r="I59" i="9"/>
  <c r="H59" i="9"/>
  <c r="G59" i="9"/>
  <c r="F59" i="9"/>
  <c r="E59" i="9"/>
  <c r="W58" i="9"/>
  <c r="V58" i="9"/>
  <c r="U58" i="9"/>
  <c r="C19" i="3" s="1"/>
  <c r="T58" i="9"/>
  <c r="B19" i="3" s="1"/>
  <c r="S58" i="9"/>
  <c r="R58" i="9"/>
  <c r="Q58" i="9"/>
  <c r="P58" i="9"/>
  <c r="O58" i="9"/>
  <c r="N58" i="9"/>
  <c r="M58" i="9"/>
  <c r="L58" i="9"/>
  <c r="K58" i="9"/>
  <c r="J58" i="9"/>
  <c r="I58" i="9"/>
  <c r="H58" i="9"/>
  <c r="G58" i="9"/>
  <c r="F58" i="9"/>
  <c r="E58" i="9"/>
  <c r="W57" i="9"/>
  <c r="V57" i="9"/>
  <c r="U57" i="9"/>
  <c r="C18" i="3" s="1"/>
  <c r="T57" i="9"/>
  <c r="B18" i="3" s="1"/>
  <c r="S57" i="9"/>
  <c r="R57" i="9"/>
  <c r="Q57" i="9"/>
  <c r="P57" i="9"/>
  <c r="O57" i="9"/>
  <c r="N57" i="9"/>
  <c r="M57" i="9"/>
  <c r="L57" i="9"/>
  <c r="K57" i="9"/>
  <c r="J57" i="9"/>
  <c r="I57" i="9"/>
  <c r="H57" i="9"/>
  <c r="G57" i="9"/>
  <c r="F57" i="9"/>
  <c r="E57" i="9"/>
  <c r="W56" i="9"/>
  <c r="V56" i="9"/>
  <c r="U56" i="9"/>
  <c r="C17" i="3" s="1"/>
  <c r="T56" i="9"/>
  <c r="B17" i="3" s="1"/>
  <c r="S56" i="9"/>
  <c r="R56" i="9"/>
  <c r="Q56" i="9"/>
  <c r="P56" i="9"/>
  <c r="O56" i="9"/>
  <c r="N56" i="9"/>
  <c r="M56" i="9"/>
  <c r="L56" i="9"/>
  <c r="K56" i="9"/>
  <c r="J56" i="9"/>
  <c r="I56" i="9"/>
  <c r="H56" i="9"/>
  <c r="G56" i="9"/>
  <c r="F56" i="9"/>
  <c r="E56" i="9"/>
  <c r="W55" i="9"/>
  <c r="V55" i="9"/>
  <c r="U55" i="9"/>
  <c r="C16" i="3" s="1"/>
  <c r="T55" i="9"/>
  <c r="B16" i="3" s="1"/>
  <c r="S55" i="9"/>
  <c r="R55" i="9"/>
  <c r="Q55" i="9"/>
  <c r="P55" i="9"/>
  <c r="O55" i="9"/>
  <c r="N55" i="9"/>
  <c r="M55" i="9"/>
  <c r="L55" i="9"/>
  <c r="K55" i="9"/>
  <c r="J55" i="9"/>
  <c r="I55" i="9"/>
  <c r="H55" i="9"/>
  <c r="G55" i="9"/>
  <c r="F55" i="9"/>
  <c r="E55" i="9"/>
  <c r="W54" i="9"/>
  <c r="V54" i="9"/>
  <c r="U54" i="9"/>
  <c r="C15" i="3" s="1"/>
  <c r="T54" i="9"/>
  <c r="B15" i="3" s="1"/>
  <c r="S54" i="9"/>
  <c r="R54" i="9"/>
  <c r="Q54" i="9"/>
  <c r="P54" i="9"/>
  <c r="O54" i="9"/>
  <c r="N54" i="9"/>
  <c r="M54" i="9"/>
  <c r="L54" i="9"/>
  <c r="K54" i="9"/>
  <c r="J54" i="9"/>
  <c r="I54" i="9"/>
  <c r="H54" i="9"/>
  <c r="G54" i="9"/>
  <c r="F54" i="9"/>
  <c r="E54" i="9"/>
  <c r="W53" i="9"/>
  <c r="V53" i="9"/>
  <c r="U53" i="9"/>
  <c r="C14" i="3" s="1"/>
  <c r="T53" i="9"/>
  <c r="B14" i="3" s="1"/>
  <c r="S53" i="9"/>
  <c r="R53" i="9"/>
  <c r="Q53" i="9"/>
  <c r="P53" i="9"/>
  <c r="O53" i="9"/>
  <c r="N53" i="9"/>
  <c r="M53" i="9"/>
  <c r="L53" i="9"/>
  <c r="K53" i="9"/>
  <c r="J53" i="9"/>
  <c r="I53" i="9"/>
  <c r="H53" i="9"/>
  <c r="G53" i="9"/>
  <c r="F53" i="9"/>
  <c r="E53" i="9"/>
  <c r="W52" i="9"/>
  <c r="V52" i="9"/>
  <c r="U52" i="9"/>
  <c r="C13" i="3" s="1"/>
  <c r="T52" i="9"/>
  <c r="B13" i="3" s="1"/>
  <c r="S52" i="9"/>
  <c r="R52" i="9"/>
  <c r="Q52" i="9"/>
  <c r="P52" i="9"/>
  <c r="O52" i="9"/>
  <c r="N52" i="9"/>
  <c r="M52" i="9"/>
  <c r="L52" i="9"/>
  <c r="K52" i="9"/>
  <c r="J52" i="9"/>
  <c r="I52" i="9"/>
  <c r="H52" i="9"/>
  <c r="G52" i="9"/>
  <c r="F52" i="9"/>
  <c r="E52" i="9"/>
  <c r="W51" i="9"/>
  <c r="V51" i="9"/>
  <c r="U51" i="9"/>
  <c r="C12" i="3" s="1"/>
  <c r="T51" i="9"/>
  <c r="B12" i="3" s="1"/>
  <c r="S51" i="9"/>
  <c r="R51" i="9"/>
  <c r="Q51" i="9"/>
  <c r="P51" i="9"/>
  <c r="O51" i="9"/>
  <c r="N51" i="9"/>
  <c r="M51" i="9"/>
  <c r="L51" i="9"/>
  <c r="K51" i="9"/>
  <c r="J51" i="9"/>
  <c r="I51" i="9"/>
  <c r="H51" i="9"/>
  <c r="G51" i="9"/>
  <c r="F51" i="9"/>
  <c r="E51" i="9"/>
  <c r="W50" i="9"/>
  <c r="V50" i="9"/>
  <c r="U50" i="9"/>
  <c r="C11" i="3" s="1"/>
  <c r="T50" i="9"/>
  <c r="B11" i="3" s="1"/>
  <c r="S50" i="9"/>
  <c r="R50" i="9"/>
  <c r="Q50" i="9"/>
  <c r="P50" i="9"/>
  <c r="O50" i="9"/>
  <c r="N50" i="9"/>
  <c r="M50" i="9"/>
  <c r="L50" i="9"/>
  <c r="K50" i="9"/>
  <c r="J50" i="9"/>
  <c r="I50" i="9"/>
  <c r="H50" i="9"/>
  <c r="G50" i="9"/>
  <c r="F50" i="9"/>
  <c r="E50" i="9"/>
  <c r="W49" i="9"/>
  <c r="V49" i="9"/>
  <c r="U49" i="9"/>
  <c r="C10" i="3" s="1"/>
  <c r="T49" i="9"/>
  <c r="B10" i="3" s="1"/>
  <c r="S49" i="9"/>
  <c r="R49" i="9"/>
  <c r="Q49" i="9"/>
  <c r="P49" i="9"/>
  <c r="O49" i="9"/>
  <c r="N49" i="9"/>
  <c r="M49" i="9"/>
  <c r="L49" i="9"/>
  <c r="K49" i="9"/>
  <c r="J49" i="9"/>
  <c r="I49" i="9"/>
  <c r="H49" i="9"/>
  <c r="G49" i="9"/>
  <c r="F49" i="9"/>
  <c r="E49" i="9"/>
  <c r="W48" i="9"/>
  <c r="V48" i="9"/>
  <c r="U48" i="9"/>
  <c r="C9" i="3" s="1"/>
  <c r="T48" i="9"/>
  <c r="B9" i="3" s="1"/>
  <c r="S48" i="9"/>
  <c r="R48" i="9"/>
  <c r="Q48" i="9"/>
  <c r="P48" i="9"/>
  <c r="O48" i="9"/>
  <c r="N48" i="9"/>
  <c r="M48" i="9"/>
  <c r="L48" i="9"/>
  <c r="K48" i="9"/>
  <c r="J48" i="9"/>
  <c r="I48" i="9"/>
  <c r="H48" i="9"/>
  <c r="G48" i="9"/>
  <c r="F48" i="9"/>
  <c r="E48" i="9"/>
  <c r="W47" i="9"/>
  <c r="V47" i="9"/>
  <c r="U47" i="9"/>
  <c r="C8" i="3" s="1"/>
  <c r="T47" i="9"/>
  <c r="B8" i="3" s="1"/>
  <c r="S47" i="9"/>
  <c r="R47" i="9"/>
  <c r="Q47" i="9"/>
  <c r="P47" i="9"/>
  <c r="O47" i="9"/>
  <c r="N47" i="9"/>
  <c r="M47" i="9"/>
  <c r="L47" i="9"/>
  <c r="K47" i="9"/>
  <c r="J47" i="9"/>
  <c r="I47" i="9"/>
  <c r="H47" i="9"/>
  <c r="G47" i="9"/>
  <c r="F47" i="9"/>
  <c r="E47" i="9"/>
  <c r="W46" i="9"/>
  <c r="V46" i="9"/>
  <c r="U46" i="9"/>
  <c r="C7" i="3" s="1"/>
  <c r="T46" i="9"/>
  <c r="B7" i="3" s="1"/>
  <c r="S46" i="9"/>
  <c r="R46" i="9"/>
  <c r="Q46" i="9"/>
  <c r="P46" i="9"/>
  <c r="O46" i="9"/>
  <c r="N46" i="9"/>
  <c r="M46" i="9"/>
  <c r="L46" i="9"/>
  <c r="K46" i="9"/>
  <c r="J46" i="9"/>
  <c r="I46" i="9"/>
  <c r="H46" i="9"/>
  <c r="G46" i="9"/>
  <c r="F46" i="9"/>
  <c r="E46" i="9"/>
  <c r="W45" i="9"/>
  <c r="V45" i="9"/>
  <c r="U45" i="9"/>
  <c r="C6" i="3" s="1"/>
  <c r="T45" i="9"/>
  <c r="B6" i="3" s="1"/>
  <c r="S45" i="9"/>
  <c r="R45" i="9"/>
  <c r="Q45" i="9"/>
  <c r="P45" i="9"/>
  <c r="O45" i="9"/>
  <c r="N45" i="9"/>
  <c r="M45" i="9"/>
  <c r="L45" i="9"/>
  <c r="K45" i="9"/>
  <c r="J45" i="9"/>
  <c r="I45" i="9"/>
  <c r="H45" i="9"/>
  <c r="G45" i="9"/>
  <c r="F45" i="9"/>
  <c r="E45" i="9"/>
  <c r="W44" i="9"/>
  <c r="V44" i="9"/>
  <c r="U44" i="9"/>
  <c r="C5" i="3" s="1"/>
  <c r="T44" i="9"/>
  <c r="B5" i="3" s="1"/>
  <c r="S44" i="9"/>
  <c r="R44" i="9"/>
  <c r="Q44" i="9"/>
  <c r="P44" i="9"/>
  <c r="O44" i="9"/>
  <c r="N44" i="9"/>
  <c r="M44" i="9"/>
  <c r="L44" i="9"/>
  <c r="K44" i="9"/>
  <c r="J44" i="9"/>
  <c r="I44" i="9"/>
  <c r="H44" i="9"/>
  <c r="G44" i="9"/>
  <c r="F44" i="9"/>
  <c r="E44" i="9"/>
  <c r="W43" i="9"/>
  <c r="V43" i="9"/>
  <c r="U43" i="9"/>
  <c r="C4" i="3" s="1"/>
  <c r="T43" i="9"/>
  <c r="B4" i="3" s="1"/>
  <c r="S43" i="9"/>
  <c r="R43" i="9"/>
  <c r="Q43" i="9"/>
  <c r="P43" i="9"/>
  <c r="O43" i="9"/>
  <c r="N43" i="9"/>
  <c r="M43" i="9"/>
  <c r="L43" i="9"/>
  <c r="K43" i="9"/>
  <c r="J43" i="9"/>
  <c r="I43" i="9"/>
  <c r="H43" i="9"/>
  <c r="G43" i="9"/>
  <c r="F43" i="9"/>
  <c r="E43" i="9"/>
  <c r="W42" i="9"/>
  <c r="V42" i="9"/>
  <c r="U42" i="9"/>
  <c r="C3" i="3" s="1"/>
  <c r="T42" i="9"/>
  <c r="B3" i="3" s="1"/>
  <c r="S42" i="9"/>
  <c r="R42" i="9"/>
  <c r="Q42" i="9"/>
  <c r="P42" i="9"/>
  <c r="O42" i="9"/>
  <c r="N42" i="9"/>
  <c r="M42" i="9"/>
  <c r="L42" i="9"/>
  <c r="K42" i="9"/>
  <c r="J42" i="9"/>
  <c r="I42" i="9"/>
  <c r="H42" i="9"/>
  <c r="G42" i="9"/>
  <c r="F42" i="9"/>
  <c r="E42" i="9"/>
  <c r="W41" i="9"/>
  <c r="V41" i="9"/>
  <c r="U41" i="9"/>
  <c r="T41" i="9"/>
  <c r="S41" i="9"/>
  <c r="R41" i="9"/>
  <c r="Q41" i="9"/>
  <c r="P41" i="9"/>
  <c r="O41" i="9"/>
  <c r="N41" i="9"/>
  <c r="M41" i="9"/>
  <c r="L41" i="9"/>
  <c r="K41" i="9"/>
  <c r="J41" i="9"/>
  <c r="I41" i="9"/>
  <c r="H41" i="9"/>
  <c r="G41" i="9"/>
  <c r="F41" i="9"/>
  <c r="E41" i="9"/>
  <c r="W40" i="9"/>
  <c r="V40" i="9"/>
  <c r="U40" i="9"/>
  <c r="T40" i="9"/>
  <c r="S40" i="9"/>
  <c r="R40" i="9"/>
  <c r="Q40" i="9"/>
  <c r="P40" i="9"/>
  <c r="O40" i="9"/>
  <c r="N40" i="9"/>
  <c r="M40" i="9"/>
  <c r="L40" i="9"/>
  <c r="K40" i="9"/>
  <c r="J40" i="9"/>
  <c r="I40" i="9"/>
  <c r="H40" i="9"/>
  <c r="G40" i="9"/>
  <c r="F40" i="9"/>
  <c r="E40" i="9"/>
  <c r="W39" i="9"/>
  <c r="V39" i="9"/>
  <c r="U39" i="9"/>
  <c r="T39" i="9"/>
  <c r="S39" i="9"/>
  <c r="R39" i="9"/>
  <c r="Q39" i="9"/>
  <c r="P39" i="9"/>
  <c r="O39" i="9"/>
  <c r="N39" i="9"/>
  <c r="M39" i="9"/>
  <c r="L39" i="9"/>
  <c r="K39" i="9"/>
  <c r="J39" i="9"/>
  <c r="I39" i="9"/>
  <c r="H39" i="9"/>
  <c r="G39" i="9"/>
  <c r="F39" i="9"/>
  <c r="E39" i="9"/>
  <c r="W38" i="9"/>
  <c r="V38" i="9"/>
  <c r="U38" i="9"/>
  <c r="T38" i="9"/>
  <c r="S38" i="9"/>
  <c r="R38" i="9"/>
  <c r="Q38" i="9"/>
  <c r="P38" i="9"/>
  <c r="O38" i="9"/>
  <c r="N38" i="9"/>
  <c r="M38" i="9"/>
  <c r="L38" i="9"/>
  <c r="K38" i="9"/>
  <c r="J38" i="9"/>
  <c r="I38" i="9"/>
  <c r="H38" i="9"/>
  <c r="G38" i="9"/>
  <c r="F38" i="9"/>
  <c r="E38" i="9"/>
  <c r="W37" i="9"/>
  <c r="V37" i="9"/>
  <c r="U37" i="9"/>
  <c r="T37" i="9"/>
  <c r="S37" i="9"/>
  <c r="R37" i="9"/>
  <c r="Q37" i="9"/>
  <c r="P37" i="9"/>
  <c r="O37" i="9"/>
  <c r="N37" i="9"/>
  <c r="M37" i="9"/>
  <c r="L37" i="9"/>
  <c r="K37" i="9"/>
  <c r="J37" i="9"/>
  <c r="I37" i="9"/>
  <c r="H37" i="9"/>
  <c r="G37" i="9"/>
  <c r="F37" i="9"/>
  <c r="E37" i="9"/>
  <c r="W36" i="9"/>
  <c r="V36" i="9"/>
  <c r="U36" i="9"/>
  <c r="T36" i="9"/>
  <c r="S36" i="9"/>
  <c r="R36" i="9"/>
  <c r="Q36" i="9"/>
  <c r="P36" i="9"/>
  <c r="O36" i="9"/>
  <c r="N36" i="9"/>
  <c r="M36" i="9"/>
  <c r="L36" i="9"/>
  <c r="K36" i="9"/>
  <c r="J36" i="9"/>
  <c r="I36" i="9"/>
  <c r="H36" i="9"/>
  <c r="G36" i="9"/>
  <c r="F36" i="9"/>
  <c r="E36" i="9"/>
  <c r="W35" i="9"/>
  <c r="V35" i="9"/>
  <c r="U35" i="9"/>
  <c r="T35" i="9"/>
  <c r="S35" i="9"/>
  <c r="R35" i="9"/>
  <c r="Q35" i="9"/>
  <c r="P35" i="9"/>
  <c r="O35" i="9"/>
  <c r="N35" i="9"/>
  <c r="M35" i="9"/>
  <c r="L35" i="9"/>
  <c r="K35" i="9"/>
  <c r="J35" i="9"/>
  <c r="I35" i="9"/>
  <c r="H35" i="9"/>
  <c r="G35" i="9"/>
  <c r="F35" i="9"/>
  <c r="E35" i="9"/>
  <c r="W34" i="9"/>
  <c r="V34" i="9"/>
  <c r="U34" i="9"/>
  <c r="T34" i="9"/>
  <c r="S34" i="9"/>
  <c r="R34" i="9"/>
  <c r="Q34" i="9"/>
  <c r="P34" i="9"/>
  <c r="O34" i="9"/>
  <c r="N34" i="9"/>
  <c r="M34" i="9"/>
  <c r="L34" i="9"/>
  <c r="K34" i="9"/>
  <c r="J34" i="9"/>
  <c r="I34" i="9"/>
  <c r="H34" i="9"/>
  <c r="G34" i="9"/>
  <c r="F34" i="9"/>
  <c r="E34" i="9"/>
  <c r="W33" i="9"/>
  <c r="V33" i="9"/>
  <c r="U33" i="9"/>
  <c r="T33" i="9"/>
  <c r="S33" i="9"/>
  <c r="R33" i="9"/>
  <c r="Q33" i="9"/>
  <c r="P33" i="9"/>
  <c r="O33" i="9"/>
  <c r="N33" i="9"/>
  <c r="M33" i="9"/>
  <c r="L33" i="9"/>
  <c r="K33" i="9"/>
  <c r="J33" i="9"/>
  <c r="I33" i="9"/>
  <c r="H33" i="9"/>
  <c r="G33" i="9"/>
  <c r="F33" i="9"/>
  <c r="E33" i="9"/>
  <c r="W32" i="9"/>
  <c r="V32" i="9"/>
  <c r="U32" i="9"/>
  <c r="T32" i="9"/>
  <c r="S32" i="9"/>
  <c r="R32" i="9"/>
  <c r="Q32" i="9"/>
  <c r="P32" i="9"/>
  <c r="O32" i="9"/>
  <c r="N32" i="9"/>
  <c r="M32" i="9"/>
  <c r="L32" i="9"/>
  <c r="K32" i="9"/>
  <c r="J32" i="9"/>
  <c r="I32" i="9"/>
  <c r="H32" i="9"/>
  <c r="G32" i="9"/>
  <c r="F32" i="9"/>
  <c r="E32" i="9"/>
  <c r="W31" i="9"/>
  <c r="V31" i="9"/>
  <c r="U31" i="9"/>
  <c r="T31" i="9"/>
  <c r="S31" i="9"/>
  <c r="R31" i="9"/>
  <c r="Q31" i="9"/>
  <c r="P31" i="9"/>
  <c r="O31" i="9"/>
  <c r="N31" i="9"/>
  <c r="M31" i="9"/>
  <c r="L31" i="9"/>
  <c r="K31" i="9"/>
  <c r="J31" i="9"/>
  <c r="I31" i="9"/>
  <c r="H31" i="9"/>
  <c r="G31" i="9"/>
  <c r="F31" i="9"/>
  <c r="E31" i="9"/>
  <c r="W30" i="9"/>
  <c r="V30" i="9"/>
  <c r="U30" i="9"/>
  <c r="T30" i="9"/>
  <c r="S30" i="9"/>
  <c r="R30" i="9"/>
  <c r="Q30" i="9"/>
  <c r="P30" i="9"/>
  <c r="O30" i="9"/>
  <c r="N30" i="9"/>
  <c r="M30" i="9"/>
  <c r="L30" i="9"/>
  <c r="K30" i="9"/>
  <c r="J30" i="9"/>
  <c r="I30" i="9"/>
  <c r="H30" i="9"/>
  <c r="G30" i="9"/>
  <c r="F30" i="9"/>
  <c r="E30" i="9"/>
  <c r="W29" i="9"/>
  <c r="V29" i="9"/>
  <c r="U29" i="9"/>
  <c r="T29" i="9"/>
  <c r="S29" i="9"/>
  <c r="R29" i="9"/>
  <c r="Q29" i="9"/>
  <c r="P29" i="9"/>
  <c r="O29" i="9"/>
  <c r="N29" i="9"/>
  <c r="M29" i="9"/>
  <c r="L29" i="9"/>
  <c r="K29" i="9"/>
  <c r="J29" i="9"/>
  <c r="I29" i="9"/>
  <c r="H29" i="9"/>
  <c r="G29" i="9"/>
  <c r="F29" i="9"/>
  <c r="E29" i="9"/>
  <c r="B14" i="9"/>
  <c r="D138" i="9" s="1"/>
  <c r="A8" i="9"/>
  <c r="A7" i="9"/>
  <c r="D11" i="2"/>
  <c r="H11" i="2" s="1"/>
  <c r="C11" i="2"/>
  <c r="G11" i="2" s="1"/>
  <c r="D12" i="2"/>
  <c r="H12" i="2" s="1"/>
  <c r="D13" i="2"/>
  <c r="H13" i="2" s="1"/>
  <c r="D14" i="2"/>
  <c r="H14" i="2" s="1"/>
  <c r="D15" i="2"/>
  <c r="H15" i="2" s="1"/>
  <c r="C13" i="2"/>
  <c r="G13" i="2" s="1"/>
  <c r="C14" i="2"/>
  <c r="G14" i="2" s="1"/>
  <c r="C15" i="2"/>
  <c r="G15" i="2" s="1"/>
  <c r="C12" i="2"/>
  <c r="G12" i="2" s="1"/>
  <c r="D5" i="2"/>
  <c r="H5" i="2" s="1"/>
  <c r="D6" i="2"/>
  <c r="D7" i="2"/>
  <c r="D8" i="2"/>
  <c r="C6" i="2"/>
  <c r="C7" i="2"/>
  <c r="C8" i="2"/>
  <c r="C5" i="2"/>
  <c r="J49" i="7" l="1"/>
  <c r="A62" i="3"/>
  <c r="A66" i="3"/>
  <c r="A70" i="3"/>
  <c r="A74" i="3"/>
  <c r="A78" i="3"/>
  <c r="A82" i="3"/>
  <c r="A86" i="3"/>
  <c r="A90" i="3"/>
  <c r="A94" i="3"/>
  <c r="A98" i="3"/>
  <c r="A63" i="3"/>
  <c r="A67" i="3"/>
  <c r="A71" i="3"/>
  <c r="A75" i="3"/>
  <c r="A79" i="3"/>
  <c r="A83" i="3"/>
  <c r="A87" i="3"/>
  <c r="A91" i="3"/>
  <c r="A95" i="3"/>
  <c r="A99" i="3"/>
  <c r="A64" i="3"/>
  <c r="A68" i="3"/>
  <c r="A72" i="3"/>
  <c r="A76" i="3"/>
  <c r="A80" i="3"/>
  <c r="A84" i="3"/>
  <c r="A88" i="3"/>
  <c r="A92" i="3"/>
  <c r="A96" i="3"/>
  <c r="D135" i="9"/>
  <c r="A65" i="3"/>
  <c r="A69" i="3"/>
  <c r="A73" i="3"/>
  <c r="A77" i="3"/>
  <c r="A81" i="3"/>
  <c r="A85" i="3"/>
  <c r="A89" i="3"/>
  <c r="A93" i="3"/>
  <c r="A97" i="3"/>
  <c r="D119" i="9"/>
  <c r="D127" i="9"/>
  <c r="D103" i="9"/>
  <c r="D111" i="9"/>
  <c r="D30" i="9"/>
  <c r="D32" i="9"/>
  <c r="D34" i="9"/>
  <c r="D36" i="9"/>
  <c r="D38" i="9"/>
  <c r="D40" i="9"/>
  <c r="D42" i="9"/>
  <c r="D44" i="9"/>
  <c r="D46" i="9"/>
  <c r="D48" i="9"/>
  <c r="D50" i="9"/>
  <c r="D52" i="9"/>
  <c r="D54" i="9"/>
  <c r="D56" i="9"/>
  <c r="C11" i="14" s="1"/>
  <c r="D58" i="9"/>
  <c r="D60" i="9"/>
  <c r="D62" i="9"/>
  <c r="D64" i="9"/>
  <c r="D66" i="9"/>
  <c r="D68" i="9"/>
  <c r="D70" i="9"/>
  <c r="D72" i="9"/>
  <c r="D74" i="9"/>
  <c r="D76" i="9"/>
  <c r="D78" i="9"/>
  <c r="D80" i="9"/>
  <c r="D82" i="9"/>
  <c r="D84" i="9"/>
  <c r="D86" i="9"/>
  <c r="D88" i="9"/>
  <c r="D90" i="9"/>
  <c r="D92" i="9"/>
  <c r="D94" i="9"/>
  <c r="D96" i="9"/>
  <c r="D98" i="9"/>
  <c r="D100" i="9"/>
  <c r="D108" i="9"/>
  <c r="D116" i="9"/>
  <c r="D124" i="9"/>
  <c r="D132" i="9"/>
  <c r="D105" i="9"/>
  <c r="D113" i="9"/>
  <c r="D121" i="9"/>
  <c r="D129" i="9"/>
  <c r="D137" i="9"/>
  <c r="D102" i="9"/>
  <c r="D110" i="9"/>
  <c r="D118" i="9"/>
  <c r="D126" i="9"/>
  <c r="D134" i="9"/>
  <c r="D27" i="9"/>
  <c r="D107" i="9"/>
  <c r="D115" i="9"/>
  <c r="D123" i="9"/>
  <c r="D131" i="9"/>
  <c r="D139" i="9"/>
  <c r="D29" i="9"/>
  <c r="D31" i="9"/>
  <c r="D33" i="9"/>
  <c r="D35" i="9"/>
  <c r="D37" i="9"/>
  <c r="D39" i="9"/>
  <c r="D41" i="9"/>
  <c r="D43" i="9"/>
  <c r="D45" i="9"/>
  <c r="D47" i="9"/>
  <c r="D49" i="9"/>
  <c r="C10" i="14" s="1"/>
  <c r="D51" i="9"/>
  <c r="D53" i="9"/>
  <c r="D55" i="9"/>
  <c r="D57" i="9"/>
  <c r="D59" i="9"/>
  <c r="D61" i="9"/>
  <c r="D63" i="9"/>
  <c r="D65" i="9"/>
  <c r="D67" i="9"/>
  <c r="D69" i="9"/>
  <c r="D71" i="9"/>
  <c r="D73" i="9"/>
  <c r="D75" i="9"/>
  <c r="D77" i="9"/>
  <c r="D79" i="9"/>
  <c r="D81" i="9"/>
  <c r="D83" i="9"/>
  <c r="D85" i="9"/>
  <c r="D87" i="9"/>
  <c r="D89" i="9"/>
  <c r="D91" i="9"/>
  <c r="D93" i="9"/>
  <c r="D95" i="9"/>
  <c r="D97" i="9"/>
  <c r="D99" i="9"/>
  <c r="D104" i="9"/>
  <c r="D112" i="9"/>
  <c r="D120" i="9"/>
  <c r="D128" i="9"/>
  <c r="D136" i="9"/>
  <c r="D101" i="9"/>
  <c r="D109" i="9"/>
  <c r="D117" i="9"/>
  <c r="D125" i="9"/>
  <c r="D133" i="9"/>
  <c r="D106" i="9"/>
  <c r="D114" i="9"/>
  <c r="D122" i="9"/>
  <c r="D130" i="9"/>
  <c r="H37" i="7"/>
  <c r="G37" i="7"/>
  <c r="F37" i="7"/>
  <c r="E37" i="7"/>
  <c r="D37" i="7"/>
  <c r="C37" i="7"/>
  <c r="H30" i="7"/>
  <c r="G30" i="7"/>
  <c r="F30" i="7"/>
  <c r="E30" i="7"/>
  <c r="D30" i="7"/>
  <c r="C30" i="7"/>
  <c r="H23" i="7"/>
  <c r="G23" i="7"/>
  <c r="F23" i="7"/>
  <c r="E23" i="7"/>
  <c r="D23" i="7"/>
  <c r="C23" i="7"/>
  <c r="H16" i="7"/>
  <c r="G16" i="7"/>
  <c r="F16" i="7"/>
  <c r="E16" i="7"/>
  <c r="D16" i="7"/>
  <c r="C16" i="7"/>
  <c r="C22" i="2"/>
  <c r="C23" i="2"/>
  <c r="C12" i="14" l="1"/>
  <c r="C15" i="14" s="1"/>
  <c r="C4" i="14" s="1"/>
  <c r="C4" i="6" s="1"/>
  <c r="J50" i="7"/>
  <c r="C4" i="7"/>
  <c r="D4" i="7"/>
  <c r="F22" i="7" s="1"/>
  <c r="E4" i="7"/>
  <c r="G22" i="7" s="1"/>
  <c r="F4" i="7"/>
  <c r="H22" i="7" s="1"/>
  <c r="C5" i="7"/>
  <c r="D5" i="7"/>
  <c r="F29" i="7" s="1"/>
  <c r="E5" i="7"/>
  <c r="G29" i="7" s="1"/>
  <c r="F5" i="7"/>
  <c r="H29" i="7" s="1"/>
  <c r="C6" i="7"/>
  <c r="D6" i="7"/>
  <c r="F36" i="7" s="1"/>
  <c r="E6" i="7"/>
  <c r="G36" i="7" s="1"/>
  <c r="F6" i="7"/>
  <c r="H36" i="7" s="1"/>
  <c r="D3" i="7"/>
  <c r="E3" i="7"/>
  <c r="G15" i="7" s="1"/>
  <c r="F3" i="7"/>
  <c r="C3" i="7"/>
  <c r="C15" i="7" s="1"/>
  <c r="J51" i="7" l="1"/>
  <c r="E36" i="7"/>
  <c r="D36" i="7"/>
  <c r="C36" i="7"/>
  <c r="D22" i="7"/>
  <c r="E22" i="7"/>
  <c r="E29" i="7"/>
  <c r="D29" i="7"/>
  <c r="C29" i="7"/>
  <c r="C32" i="7" s="1"/>
  <c r="C22" i="7"/>
  <c r="C26" i="2"/>
  <c r="D21" i="2"/>
  <c r="D22" i="2"/>
  <c r="D40" i="2" s="1"/>
  <c r="D23" i="2"/>
  <c r="D20" i="2"/>
  <c r="D38" i="2" s="1"/>
  <c r="D4" i="2"/>
  <c r="C4" i="2"/>
  <c r="G6" i="2"/>
  <c r="H6" i="2"/>
  <c r="G7" i="2"/>
  <c r="H7" i="2"/>
  <c r="G8" i="2"/>
  <c r="H8" i="2"/>
  <c r="G5" i="2"/>
  <c r="D15" i="7"/>
  <c r="C17" i="7" s="1"/>
  <c r="E15" i="7"/>
  <c r="F15" i="7"/>
  <c r="H15" i="7"/>
  <c r="D11" i="3"/>
  <c r="E11" i="3"/>
  <c r="E12" i="3" s="1"/>
  <c r="E43" i="7" l="1"/>
  <c r="C31" i="2"/>
  <c r="C38" i="2"/>
  <c r="C40" i="2"/>
  <c r="Q44" i="7" s="1"/>
  <c r="R44" i="7" s="1"/>
  <c r="C33" i="2"/>
  <c r="T44" i="7"/>
  <c r="U44" i="7" s="1"/>
  <c r="N44" i="7"/>
  <c r="O44" i="7" s="1"/>
  <c r="J52" i="7"/>
  <c r="G43" i="7"/>
  <c r="H43" i="7"/>
  <c r="F43" i="7"/>
  <c r="H31" i="7"/>
  <c r="F38" i="7"/>
  <c r="D38" i="7"/>
  <c r="D12" i="3"/>
  <c r="C18" i="7"/>
  <c r="F1" i="3" s="1"/>
  <c r="G31" i="7"/>
  <c r="G38" i="7"/>
  <c r="H38" i="7"/>
  <c r="C31" i="7"/>
  <c r="D31" i="7"/>
  <c r="E38" i="7"/>
  <c r="E31" i="7"/>
  <c r="C38" i="7"/>
  <c r="C39" i="7"/>
  <c r="I1" i="3" s="1"/>
  <c r="F31" i="7"/>
  <c r="C24" i="7"/>
  <c r="E24" i="7"/>
  <c r="C25" i="7"/>
  <c r="H17" i="7"/>
  <c r="H4" i="2"/>
  <c r="G4" i="2"/>
  <c r="F24" i="7"/>
  <c r="G24" i="7"/>
  <c r="D17" i="7"/>
  <c r="G17" i="7"/>
  <c r="H24" i="7"/>
  <c r="F17" i="7"/>
  <c r="E17" i="7"/>
  <c r="D24" i="7"/>
  <c r="E13" i="3"/>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J53" i="7" l="1"/>
  <c r="C33" i="7"/>
  <c r="C37" i="2"/>
  <c r="F12" i="3"/>
  <c r="F11" i="3"/>
  <c r="D30" i="2"/>
  <c r="D37" i="2" s="1"/>
  <c r="T52" i="7" s="1"/>
  <c r="D13" i="3"/>
  <c r="F13" i="3" s="1"/>
  <c r="K44" i="7"/>
  <c r="L44" i="7" s="1"/>
  <c r="C40" i="7"/>
  <c r="C19" i="7"/>
  <c r="H1" i="3"/>
  <c r="G1" i="3"/>
  <c r="I11" i="3"/>
  <c r="I12" i="3"/>
  <c r="C26" i="7"/>
  <c r="Q52" i="7" l="1"/>
  <c r="K52" i="7"/>
  <c r="I52" i="7" s="1"/>
  <c r="N45" i="7"/>
  <c r="T45" i="7"/>
  <c r="K45" i="7"/>
  <c r="I45" i="7" s="1"/>
  <c r="Q45" i="7"/>
  <c r="K46" i="7"/>
  <c r="I46" i="7" s="1"/>
  <c r="N46" i="7"/>
  <c r="Q46" i="7"/>
  <c r="T46" i="7"/>
  <c r="K47" i="7"/>
  <c r="I47" i="7" s="1"/>
  <c r="T47" i="7"/>
  <c r="Q47" i="7"/>
  <c r="N47" i="7"/>
  <c r="K48" i="7"/>
  <c r="I48" i="7" s="1"/>
  <c r="T48" i="7"/>
  <c r="N48" i="7"/>
  <c r="Q48" i="7"/>
  <c r="K49" i="7"/>
  <c r="I49" i="7" s="1"/>
  <c r="N49" i="7"/>
  <c r="T49" i="7"/>
  <c r="Q49" i="7"/>
  <c r="N50" i="7"/>
  <c r="T50" i="7"/>
  <c r="K50" i="7"/>
  <c r="I50" i="7" s="1"/>
  <c r="Q50" i="7"/>
  <c r="Q51" i="7"/>
  <c r="K51" i="7"/>
  <c r="I51" i="7" s="1"/>
  <c r="N51" i="7"/>
  <c r="T51" i="7"/>
  <c r="N52" i="7"/>
  <c r="N53" i="7"/>
  <c r="J54" i="7"/>
  <c r="K53" i="7"/>
  <c r="T53" i="7"/>
  <c r="Q53" i="7"/>
  <c r="I13" i="3"/>
  <c r="H11" i="3"/>
  <c r="H12" i="3"/>
  <c r="H13" i="3"/>
  <c r="D14" i="3"/>
  <c r="G14" i="3" s="1"/>
  <c r="G11" i="3"/>
  <c r="G13" i="3"/>
  <c r="G12" i="3"/>
  <c r="I53" i="7" l="1"/>
  <c r="N54" i="7"/>
  <c r="J55" i="7"/>
  <c r="K54" i="7"/>
  <c r="I54" i="7" s="1"/>
  <c r="T54" i="7"/>
  <c r="Q54" i="7"/>
  <c r="F14" i="3"/>
  <c r="I14" i="3"/>
  <c r="D15" i="3"/>
  <c r="H14" i="3"/>
  <c r="J56" i="7" l="1"/>
  <c r="K55" i="7"/>
  <c r="I55" i="7" s="1"/>
  <c r="T55" i="7"/>
  <c r="N55" i="7"/>
  <c r="Q55" i="7"/>
  <c r="I15" i="3"/>
  <c r="F15" i="3"/>
  <c r="H15" i="3"/>
  <c r="G15" i="3"/>
  <c r="D16" i="3"/>
  <c r="N56" i="7" l="1"/>
  <c r="T56" i="7"/>
  <c r="K56" i="7"/>
  <c r="I56" i="7" s="1"/>
  <c r="Q56" i="7"/>
  <c r="J57" i="7"/>
  <c r="I16" i="3"/>
  <c r="F16" i="3"/>
  <c r="H16" i="3"/>
  <c r="G16" i="3"/>
  <c r="D17" i="3"/>
  <c r="Q57" i="7" l="1"/>
  <c r="N57" i="7"/>
  <c r="J58" i="7"/>
  <c r="K57" i="7"/>
  <c r="T57" i="7"/>
  <c r="F17" i="3"/>
  <c r="H17" i="3"/>
  <c r="I17" i="3"/>
  <c r="D18" i="3"/>
  <c r="G17" i="3"/>
  <c r="I57" i="7" l="1"/>
  <c r="N58" i="7"/>
  <c r="J59" i="7"/>
  <c r="K58" i="7"/>
  <c r="I58" i="7" s="1"/>
  <c r="T58" i="7"/>
  <c r="Q58" i="7"/>
  <c r="D19" i="3"/>
  <c r="F18" i="3"/>
  <c r="E44" i="7" s="1"/>
  <c r="I18" i="3"/>
  <c r="H18" i="3"/>
  <c r="G18" i="3"/>
  <c r="N59" i="7" l="1"/>
  <c r="J60" i="7"/>
  <c r="K59" i="7"/>
  <c r="I59" i="7" s="1"/>
  <c r="T59" i="7"/>
  <c r="Q59" i="7"/>
  <c r="H44" i="7"/>
  <c r="F44" i="7"/>
  <c r="G44" i="7"/>
  <c r="F19" i="3"/>
  <c r="E45" i="7" s="1"/>
  <c r="H19" i="3"/>
  <c r="I19" i="3"/>
  <c r="D20" i="3"/>
  <c r="G19" i="3"/>
  <c r="J61" i="7" l="1"/>
  <c r="T60" i="7"/>
  <c r="K60" i="7"/>
  <c r="I60" i="7" s="1"/>
  <c r="Q60" i="7"/>
  <c r="N60" i="7"/>
  <c r="H45" i="7"/>
  <c r="F45" i="7"/>
  <c r="G45" i="7"/>
  <c r="D21" i="3"/>
  <c r="F20" i="3"/>
  <c r="E46" i="7" s="1"/>
  <c r="M44" i="7" s="1"/>
  <c r="X44" i="7" s="1"/>
  <c r="G20" i="3"/>
  <c r="I20" i="3"/>
  <c r="H20" i="3"/>
  <c r="T61" i="7" l="1"/>
  <c r="N61" i="7"/>
  <c r="J62" i="7"/>
  <c r="K61" i="7"/>
  <c r="I61" i="7" s="1"/>
  <c r="Q61" i="7"/>
  <c r="H46" i="7"/>
  <c r="V44" i="7" s="1"/>
  <c r="AA44" i="7" s="1"/>
  <c r="G46" i="7"/>
  <c r="S44" i="7" s="1"/>
  <c r="Z44" i="7" s="1"/>
  <c r="F46" i="7"/>
  <c r="P44" i="7" s="1"/>
  <c r="Y44" i="7" s="1"/>
  <c r="H21" i="3"/>
  <c r="F21" i="3"/>
  <c r="E47" i="7" s="1"/>
  <c r="I21" i="3"/>
  <c r="D22" i="3"/>
  <c r="G21" i="3"/>
  <c r="N62" i="7" l="1"/>
  <c r="T62" i="7"/>
  <c r="Q62" i="7"/>
  <c r="J63" i="7"/>
  <c r="K62" i="7"/>
  <c r="I62" i="7" s="1"/>
  <c r="H47" i="7"/>
  <c r="F47" i="7"/>
  <c r="G47" i="7"/>
  <c r="I22" i="3"/>
  <c r="G22" i="3"/>
  <c r="D23" i="3"/>
  <c r="F22" i="3"/>
  <c r="E48" i="7" s="1"/>
  <c r="H22" i="3"/>
  <c r="N63" i="7" l="1"/>
  <c r="J64" i="7"/>
  <c r="K63" i="7"/>
  <c r="I63" i="7" s="1"/>
  <c r="T63" i="7"/>
  <c r="Q63" i="7"/>
  <c r="H48" i="7"/>
  <c r="G48" i="7"/>
  <c r="F48" i="7"/>
  <c r="F23" i="3"/>
  <c r="E49" i="7" s="1"/>
  <c r="H23" i="3"/>
  <c r="I23" i="3"/>
  <c r="D24" i="3"/>
  <c r="G23" i="3"/>
  <c r="J65" i="7" l="1"/>
  <c r="N64" i="7"/>
  <c r="T64" i="7"/>
  <c r="K64" i="7"/>
  <c r="I64" i="7" s="1"/>
  <c r="Q64" i="7"/>
  <c r="H49" i="7"/>
  <c r="F49" i="7"/>
  <c r="G49" i="7"/>
  <c r="I24" i="3"/>
  <c r="D25" i="3"/>
  <c r="F24" i="3"/>
  <c r="E50" i="7" s="1"/>
  <c r="H24" i="3"/>
  <c r="G24" i="3"/>
  <c r="T65" i="7" l="1"/>
  <c r="Q65" i="7"/>
  <c r="J66" i="7"/>
  <c r="K65" i="7"/>
  <c r="I65" i="7" s="1"/>
  <c r="N65" i="7"/>
  <c r="H50" i="7"/>
  <c r="F50" i="7"/>
  <c r="G50" i="7"/>
  <c r="F25" i="3"/>
  <c r="E51" i="7" s="1"/>
  <c r="I25" i="3"/>
  <c r="D26" i="3"/>
  <c r="H25" i="3"/>
  <c r="G25" i="3"/>
  <c r="N66" i="7" l="1"/>
  <c r="K66" i="7"/>
  <c r="I66" i="7" s="1"/>
  <c r="T66" i="7"/>
  <c r="J67" i="7"/>
  <c r="Q66" i="7"/>
  <c r="H51" i="7"/>
  <c r="F51" i="7"/>
  <c r="G51" i="7"/>
  <c r="D27" i="3"/>
  <c r="I26" i="3"/>
  <c r="H26" i="3"/>
  <c r="F26" i="3"/>
  <c r="E52" i="7" s="1"/>
  <c r="G26" i="3"/>
  <c r="N67" i="7" l="1"/>
  <c r="J68" i="7"/>
  <c r="Q67" i="7"/>
  <c r="K67" i="7"/>
  <c r="I67" i="7" s="1"/>
  <c r="T67" i="7"/>
  <c r="H52" i="7"/>
  <c r="F52" i="7"/>
  <c r="G52" i="7"/>
  <c r="F27" i="3"/>
  <c r="E53" i="7" s="1"/>
  <c r="H27" i="3"/>
  <c r="I27" i="3"/>
  <c r="D28" i="3"/>
  <c r="G27" i="3"/>
  <c r="J69" i="7" l="1"/>
  <c r="T68" i="7"/>
  <c r="K68" i="7"/>
  <c r="I68" i="7" s="1"/>
  <c r="Q68" i="7"/>
  <c r="N68" i="7"/>
  <c r="H53" i="7"/>
  <c r="F53" i="7"/>
  <c r="G53" i="7"/>
  <c r="D29" i="3"/>
  <c r="I28" i="3"/>
  <c r="H28" i="3"/>
  <c r="G28" i="3"/>
  <c r="F28" i="3"/>
  <c r="E54" i="7" s="1"/>
  <c r="N69" i="7" l="1"/>
  <c r="T69" i="7"/>
  <c r="J70" i="7"/>
  <c r="K69" i="7"/>
  <c r="I69" i="7" s="1"/>
  <c r="Q69" i="7"/>
  <c r="H54" i="7"/>
  <c r="F54" i="7"/>
  <c r="G54" i="7"/>
  <c r="F29" i="3"/>
  <c r="E55" i="7" s="1"/>
  <c r="H29" i="3"/>
  <c r="I29" i="3"/>
  <c r="D30" i="3"/>
  <c r="G29" i="3"/>
  <c r="N70" i="7" l="1"/>
  <c r="J71" i="7"/>
  <c r="K70" i="7"/>
  <c r="I70" i="7" s="1"/>
  <c r="Q70" i="7"/>
  <c r="T70" i="7"/>
  <c r="H55" i="7"/>
  <c r="F55" i="7"/>
  <c r="G55" i="7"/>
  <c r="D31" i="3"/>
  <c r="F30" i="3"/>
  <c r="E56" i="7" s="1"/>
  <c r="G30" i="3"/>
  <c r="I30" i="3"/>
  <c r="H30" i="3"/>
  <c r="N71" i="7" l="1"/>
  <c r="J72" i="7"/>
  <c r="K71" i="7"/>
  <c r="I71" i="7" s="1"/>
  <c r="Q71" i="7"/>
  <c r="T71" i="7"/>
  <c r="H56" i="7"/>
  <c r="G56" i="7"/>
  <c r="F56" i="7"/>
  <c r="F31" i="3"/>
  <c r="E57" i="7" s="1"/>
  <c r="H31" i="3"/>
  <c r="G31" i="3"/>
  <c r="I31" i="3"/>
  <c r="D32" i="3"/>
  <c r="J73" i="7" l="1"/>
  <c r="K72" i="7"/>
  <c r="I72" i="7" s="1"/>
  <c r="N72" i="7"/>
  <c r="T72" i="7"/>
  <c r="Q72" i="7"/>
  <c r="H57" i="7"/>
  <c r="F57" i="7"/>
  <c r="G57" i="7"/>
  <c r="D33" i="3"/>
  <c r="G32" i="3"/>
  <c r="F32" i="3"/>
  <c r="E58" i="7" s="1"/>
  <c r="I32" i="3"/>
  <c r="H32" i="3"/>
  <c r="Q73" i="7" l="1"/>
  <c r="J74" i="7"/>
  <c r="K73" i="7"/>
  <c r="I73" i="7" s="1"/>
  <c r="T73" i="7"/>
  <c r="N73" i="7"/>
  <c r="H58" i="7"/>
  <c r="G58" i="7"/>
  <c r="F58" i="7"/>
  <c r="F33" i="3"/>
  <c r="E59" i="7" s="1"/>
  <c r="H33" i="3"/>
  <c r="I33" i="3"/>
  <c r="D34" i="3"/>
  <c r="G33" i="3"/>
  <c r="N74" i="7" l="1"/>
  <c r="Q74" i="7"/>
  <c r="J75" i="7"/>
  <c r="K74" i="7"/>
  <c r="I74" i="7" s="1"/>
  <c r="T74" i="7"/>
  <c r="H59" i="7"/>
  <c r="G59" i="7"/>
  <c r="F59" i="7"/>
  <c r="D35" i="3"/>
  <c r="I34" i="3"/>
  <c r="H34" i="3"/>
  <c r="G34" i="3"/>
  <c r="F34" i="3"/>
  <c r="E60" i="7" s="1"/>
  <c r="N75" i="7" l="1"/>
  <c r="J76" i="7"/>
  <c r="K75" i="7"/>
  <c r="I75" i="7" s="1"/>
  <c r="T75" i="7"/>
  <c r="Q75" i="7"/>
  <c r="H60" i="7"/>
  <c r="F60" i="7"/>
  <c r="G60" i="7"/>
  <c r="H35" i="3"/>
  <c r="I35" i="3"/>
  <c r="G35" i="3"/>
  <c r="F35" i="3"/>
  <c r="E61" i="7" s="1"/>
  <c r="D36" i="3"/>
  <c r="J77" i="7" l="1"/>
  <c r="T76" i="7"/>
  <c r="Q76" i="7"/>
  <c r="K76" i="7"/>
  <c r="I76" i="7" s="1"/>
  <c r="N76" i="7"/>
  <c r="H61" i="7"/>
  <c r="F61" i="7"/>
  <c r="G61" i="7"/>
  <c r="H36" i="3"/>
  <c r="D37" i="3"/>
  <c r="I36" i="3"/>
  <c r="F36" i="3"/>
  <c r="E62" i="7" s="1"/>
  <c r="G36" i="3"/>
  <c r="Q77" i="7" l="1"/>
  <c r="N77" i="7"/>
  <c r="J78" i="7"/>
  <c r="K77" i="7"/>
  <c r="I77" i="7" s="1"/>
  <c r="T77" i="7"/>
  <c r="H62" i="7"/>
  <c r="G62" i="7"/>
  <c r="F62" i="7"/>
  <c r="D38" i="3"/>
  <c r="F37" i="3"/>
  <c r="E63" i="7" s="1"/>
  <c r="I37" i="3"/>
  <c r="H37" i="3"/>
  <c r="G37" i="3"/>
  <c r="N78" i="7" l="1"/>
  <c r="J79" i="7"/>
  <c r="K78" i="7"/>
  <c r="I78" i="7" s="1"/>
  <c r="T78" i="7"/>
  <c r="Q78" i="7"/>
  <c r="H63" i="7"/>
  <c r="G63" i="7"/>
  <c r="F63" i="7"/>
  <c r="D39" i="3"/>
  <c r="F38" i="3"/>
  <c r="E64" i="7" s="1"/>
  <c r="H38" i="3"/>
  <c r="G38" i="3"/>
  <c r="I38" i="3"/>
  <c r="N79" i="7" l="1"/>
  <c r="J80" i="7"/>
  <c r="K79" i="7"/>
  <c r="I79" i="7" s="1"/>
  <c r="Q79" i="7"/>
  <c r="T79" i="7"/>
  <c r="H64" i="7"/>
  <c r="F64" i="7"/>
  <c r="G64" i="7"/>
  <c r="F39" i="3"/>
  <c r="E65" i="7" s="1"/>
  <c r="H39" i="3"/>
  <c r="D40" i="3"/>
  <c r="G39" i="3"/>
  <c r="I39" i="3"/>
  <c r="J81" i="7" l="1"/>
  <c r="N80" i="7"/>
  <c r="T80" i="7"/>
  <c r="K80" i="7"/>
  <c r="I80" i="7" s="1"/>
  <c r="Q80" i="7"/>
  <c r="H65" i="7"/>
  <c r="F65" i="7"/>
  <c r="G65" i="7"/>
  <c r="D41" i="3"/>
  <c r="H40" i="3"/>
  <c r="G40" i="3"/>
  <c r="F40" i="3"/>
  <c r="E66" i="7" s="1"/>
  <c r="I40" i="3"/>
  <c r="Q81" i="7" l="1"/>
  <c r="T81" i="7"/>
  <c r="K81" i="7"/>
  <c r="I81" i="7" s="1"/>
  <c r="J82" i="7"/>
  <c r="N81" i="7"/>
  <c r="H66" i="7"/>
  <c r="F66" i="7"/>
  <c r="G66" i="7"/>
  <c r="H41" i="3"/>
  <c r="G41" i="3"/>
  <c r="F41" i="3"/>
  <c r="E67" i="7" s="1"/>
  <c r="I41" i="3"/>
  <c r="D42" i="3"/>
  <c r="N82" i="7" l="1"/>
  <c r="Q82" i="7"/>
  <c r="J83" i="7"/>
  <c r="K82" i="7"/>
  <c r="I82" i="7" s="1"/>
  <c r="T82" i="7"/>
  <c r="H67" i="7"/>
  <c r="G67" i="7"/>
  <c r="F67" i="7"/>
  <c r="H42" i="3"/>
  <c r="G42" i="3"/>
  <c r="D43" i="3"/>
  <c r="F42" i="3"/>
  <c r="E68" i="7" s="1"/>
  <c r="I42" i="3"/>
  <c r="N83" i="7" l="1"/>
  <c r="K83" i="7"/>
  <c r="I83" i="7" s="1"/>
  <c r="J84" i="7"/>
  <c r="Q83" i="7"/>
  <c r="T83" i="7"/>
  <c r="H68" i="7"/>
  <c r="F68" i="7"/>
  <c r="G68" i="7"/>
  <c r="H43" i="3"/>
  <c r="D44" i="3"/>
  <c r="G43" i="3"/>
  <c r="F43" i="3"/>
  <c r="E69" i="7" s="1"/>
  <c r="I43" i="3"/>
  <c r="J85" i="7" l="1"/>
  <c r="T84" i="7"/>
  <c r="K84" i="7"/>
  <c r="I84" i="7" s="1"/>
  <c r="N84" i="7"/>
  <c r="Q84" i="7"/>
  <c r="H69" i="7"/>
  <c r="F69" i="7"/>
  <c r="G69" i="7"/>
  <c r="D45" i="3"/>
  <c r="F44" i="3"/>
  <c r="E70" i="7" s="1"/>
  <c r="I44" i="3"/>
  <c r="H44" i="3"/>
  <c r="G44" i="3"/>
  <c r="N85" i="7" l="1"/>
  <c r="K85" i="7"/>
  <c r="I85" i="7" s="1"/>
  <c r="T85" i="7"/>
  <c r="Q85" i="7"/>
  <c r="J86" i="7"/>
  <c r="H70" i="7"/>
  <c r="G70" i="7"/>
  <c r="F70" i="7"/>
  <c r="F45" i="3"/>
  <c r="E71" i="7" s="1"/>
  <c r="H45" i="3"/>
  <c r="I45" i="3"/>
  <c r="D46" i="3"/>
  <c r="G45" i="3"/>
  <c r="N86" i="7" l="1"/>
  <c r="K86" i="7"/>
  <c r="I86" i="7" s="1"/>
  <c r="J87" i="7"/>
  <c r="T86" i="7"/>
  <c r="Q86" i="7"/>
  <c r="H71" i="7"/>
  <c r="G71" i="7"/>
  <c r="F71" i="7"/>
  <c r="D47" i="3"/>
  <c r="F46" i="3"/>
  <c r="E72" i="7" s="1"/>
  <c r="I46" i="3"/>
  <c r="H46" i="3"/>
  <c r="G46" i="3"/>
  <c r="N87" i="7" l="1"/>
  <c r="J88" i="7"/>
  <c r="Q87" i="7"/>
  <c r="K87" i="7"/>
  <c r="I87" i="7" s="1"/>
  <c r="T87" i="7"/>
  <c r="H72" i="7"/>
  <c r="G72" i="7"/>
  <c r="F72" i="7"/>
  <c r="H47" i="3"/>
  <c r="I47" i="3"/>
  <c r="F47" i="3"/>
  <c r="E73" i="7" s="1"/>
  <c r="D48" i="3"/>
  <c r="G47" i="3"/>
  <c r="J89" i="7" l="1"/>
  <c r="T88" i="7"/>
  <c r="K88" i="7"/>
  <c r="I88" i="7" s="1"/>
  <c r="N88" i="7"/>
  <c r="Q88" i="7"/>
  <c r="H73" i="7"/>
  <c r="G73" i="7"/>
  <c r="F73" i="7"/>
  <c r="F48" i="3"/>
  <c r="E74" i="7" s="1"/>
  <c r="G48" i="3"/>
  <c r="D49" i="3"/>
  <c r="H48" i="3"/>
  <c r="I48" i="3"/>
  <c r="Q89" i="7" l="1"/>
  <c r="T89" i="7"/>
  <c r="K89" i="7"/>
  <c r="I89" i="7" s="1"/>
  <c r="N89" i="7"/>
  <c r="J90" i="7"/>
  <c r="H74" i="7"/>
  <c r="G74" i="7"/>
  <c r="F74" i="7"/>
  <c r="F49" i="3"/>
  <c r="E75" i="7" s="1"/>
  <c r="I49" i="3"/>
  <c r="H49" i="3"/>
  <c r="G49" i="3"/>
  <c r="D50" i="3"/>
  <c r="N90" i="7" l="1"/>
  <c r="T90" i="7"/>
  <c r="J91" i="7"/>
  <c r="K90" i="7"/>
  <c r="I90" i="7" s="1"/>
  <c r="Q90" i="7"/>
  <c r="H75" i="7"/>
  <c r="F75" i="7"/>
  <c r="G75" i="7"/>
  <c r="D51" i="3"/>
  <c r="F50" i="3"/>
  <c r="E76" i="7" s="1"/>
  <c r="I50" i="3"/>
  <c r="H50" i="3"/>
  <c r="G50" i="3"/>
  <c r="N91" i="7" l="1"/>
  <c r="J92" i="7"/>
  <c r="K91" i="7"/>
  <c r="I91" i="7" s="1"/>
  <c r="T91" i="7"/>
  <c r="Q91" i="7"/>
  <c r="H76" i="7"/>
  <c r="G76" i="7"/>
  <c r="F76" i="7"/>
  <c r="F51" i="3"/>
  <c r="E77" i="7" s="1"/>
  <c r="D52" i="3"/>
  <c r="G51" i="3"/>
  <c r="H51" i="3"/>
  <c r="I51" i="3"/>
  <c r="J93" i="7" l="1"/>
  <c r="T92" i="7"/>
  <c r="K92" i="7"/>
  <c r="I92" i="7" s="1"/>
  <c r="Q92" i="7"/>
  <c r="N92" i="7"/>
  <c r="H77" i="7"/>
  <c r="G77" i="7"/>
  <c r="F77" i="7"/>
  <c r="F52" i="3"/>
  <c r="E78" i="7" s="1"/>
  <c r="D53" i="3"/>
  <c r="G52" i="3"/>
  <c r="H52" i="3"/>
  <c r="I52" i="3"/>
  <c r="Q93" i="7" l="1"/>
  <c r="K93" i="7"/>
  <c r="T93" i="7"/>
  <c r="J94" i="7"/>
  <c r="N93" i="7"/>
  <c r="H78" i="7"/>
  <c r="G78" i="7"/>
  <c r="F78" i="7"/>
  <c r="H53" i="3"/>
  <c r="G53" i="3"/>
  <c r="I53" i="3"/>
  <c r="D54" i="3"/>
  <c r="F53" i="3"/>
  <c r="E79" i="7" s="1"/>
  <c r="I93" i="7" l="1"/>
  <c r="N94" i="7"/>
  <c r="T94" i="7"/>
  <c r="Q94" i="7"/>
  <c r="J95" i="7"/>
  <c r="K94" i="7"/>
  <c r="H79" i="7"/>
  <c r="F79" i="7"/>
  <c r="G79" i="7"/>
  <c r="D55" i="3"/>
  <c r="F54" i="3"/>
  <c r="E80" i="7" s="1"/>
  <c r="I54" i="3"/>
  <c r="H54" i="3"/>
  <c r="G54" i="3"/>
  <c r="Q95" i="7" l="1"/>
  <c r="N95" i="7"/>
  <c r="J96" i="7"/>
  <c r="K95" i="7"/>
  <c r="I95" i="7" s="1"/>
  <c r="T95" i="7"/>
  <c r="I94" i="7"/>
  <c r="H80" i="7"/>
  <c r="G80" i="7"/>
  <c r="F80" i="7"/>
  <c r="F55" i="3"/>
  <c r="E81" i="7" s="1"/>
  <c r="H55" i="3"/>
  <c r="I55" i="3"/>
  <c r="D56" i="3"/>
  <c r="G55" i="3"/>
  <c r="T96" i="7" l="1"/>
  <c r="K96" i="7"/>
  <c r="I96" i="7" s="1"/>
  <c r="Q96" i="7"/>
  <c r="J97" i="7"/>
  <c r="N96" i="7"/>
  <c r="H81" i="7"/>
  <c r="G81" i="7"/>
  <c r="F81" i="7"/>
  <c r="H56" i="3"/>
  <c r="F56" i="3"/>
  <c r="E82" i="7" s="1"/>
  <c r="D57" i="3"/>
  <c r="I56" i="3"/>
  <c r="G56" i="3"/>
  <c r="N97" i="7" l="1"/>
  <c r="T97" i="7"/>
  <c r="Q97" i="7"/>
  <c r="J98" i="7"/>
  <c r="K97" i="7"/>
  <c r="I97" i="7" s="1"/>
  <c r="H82" i="7"/>
  <c r="G82" i="7"/>
  <c r="F82" i="7"/>
  <c r="D58" i="3"/>
  <c r="F57" i="3"/>
  <c r="E83" i="7" s="1"/>
  <c r="H57" i="3"/>
  <c r="I57" i="3"/>
  <c r="G57" i="3"/>
  <c r="J99" i="7" l="1"/>
  <c r="K98" i="7"/>
  <c r="I98" i="7" s="1"/>
  <c r="T98" i="7"/>
  <c r="Q98" i="7"/>
  <c r="N98" i="7"/>
  <c r="H83" i="7"/>
  <c r="G83" i="7"/>
  <c r="F83" i="7"/>
  <c r="D59" i="3"/>
  <c r="H58" i="3"/>
  <c r="I58" i="3"/>
  <c r="F58" i="3"/>
  <c r="E84" i="7" s="1"/>
  <c r="G58" i="3"/>
  <c r="N99" i="7" l="1"/>
  <c r="J100" i="7"/>
  <c r="J101" i="7" s="1"/>
  <c r="K99" i="7"/>
  <c r="T99" i="7"/>
  <c r="Q99" i="7"/>
  <c r="H84" i="7"/>
  <c r="G84" i="7"/>
  <c r="F84" i="7"/>
  <c r="H59" i="3"/>
  <c r="I59" i="3"/>
  <c r="G59" i="3"/>
  <c r="F59" i="3"/>
  <c r="E85" i="7" s="1"/>
  <c r="D60" i="3"/>
  <c r="J102" i="7" l="1"/>
  <c r="T101" i="7"/>
  <c r="Q101" i="7"/>
  <c r="N101" i="7"/>
  <c r="K101" i="7"/>
  <c r="I99" i="7"/>
  <c r="Q100" i="7"/>
  <c r="K100" i="7"/>
  <c r="T100" i="7"/>
  <c r="N100" i="7"/>
  <c r="H85" i="7"/>
  <c r="F85" i="7"/>
  <c r="G85" i="7"/>
  <c r="D61" i="3"/>
  <c r="H60" i="3"/>
  <c r="F60" i="3"/>
  <c r="E86" i="7" s="1"/>
  <c r="I60" i="3"/>
  <c r="G60" i="3"/>
  <c r="J103" i="7" l="1"/>
  <c r="Q102" i="7"/>
  <c r="N102" i="7"/>
  <c r="T102" i="7"/>
  <c r="K102" i="7"/>
  <c r="I100" i="7"/>
  <c r="H86" i="7"/>
  <c r="G86" i="7"/>
  <c r="F86" i="7"/>
  <c r="F61" i="3"/>
  <c r="E87" i="7" s="1"/>
  <c r="H61" i="3"/>
  <c r="G61" i="3"/>
  <c r="D62" i="3"/>
  <c r="I61" i="3"/>
  <c r="Q103" i="7" l="1"/>
  <c r="N103" i="7"/>
  <c r="K103" i="7"/>
  <c r="T103" i="7"/>
  <c r="O45" i="7"/>
  <c r="P45" i="7" s="1"/>
  <c r="Y45" i="7" s="1"/>
  <c r="R45" i="7"/>
  <c r="S45" i="7" s="1"/>
  <c r="Z45" i="7" s="1"/>
  <c r="U45" i="7"/>
  <c r="V45" i="7" s="1"/>
  <c r="AA45" i="7" s="1"/>
  <c r="L45" i="7"/>
  <c r="M45" i="7" s="1"/>
  <c r="X45" i="7" s="1"/>
  <c r="H87" i="7"/>
  <c r="F87" i="7"/>
  <c r="G87" i="7"/>
  <c r="D63" i="3"/>
  <c r="F62" i="3"/>
  <c r="E88" i="7" s="1"/>
  <c r="G62" i="3"/>
  <c r="H62" i="3"/>
  <c r="I62" i="3"/>
  <c r="R46" i="7" l="1"/>
  <c r="U46" i="7"/>
  <c r="V46" i="7" s="1"/>
  <c r="AA46" i="7" s="1"/>
  <c r="O46" i="7"/>
  <c r="P46" i="7" s="1"/>
  <c r="Y46" i="7" s="1"/>
  <c r="L46" i="7"/>
  <c r="H88" i="7"/>
  <c r="F88" i="7"/>
  <c r="G88" i="7"/>
  <c r="F63" i="3"/>
  <c r="E89" i="7" s="1"/>
  <c r="D64" i="3"/>
  <c r="H63" i="3"/>
  <c r="G63" i="3"/>
  <c r="I63" i="3"/>
  <c r="S46" i="7" l="1"/>
  <c r="Z46" i="7" s="1"/>
  <c r="R47" i="7"/>
  <c r="U47" i="7"/>
  <c r="V47" i="7" s="1"/>
  <c r="AA47" i="7" s="1"/>
  <c r="O47" i="7"/>
  <c r="O48" i="7" s="1"/>
  <c r="M46" i="7"/>
  <c r="X46" i="7" s="1"/>
  <c r="L47" i="7"/>
  <c r="H89" i="7"/>
  <c r="F89" i="7"/>
  <c r="G89" i="7"/>
  <c r="H64" i="3"/>
  <c r="G64" i="3"/>
  <c r="F64" i="3"/>
  <c r="E90" i="7" s="1"/>
  <c r="D65" i="3"/>
  <c r="I64" i="3"/>
  <c r="U48" i="7" l="1"/>
  <c r="V48" i="7" s="1"/>
  <c r="AA48" i="7" s="1"/>
  <c r="S47" i="7"/>
  <c r="Z47" i="7" s="1"/>
  <c r="R48" i="7"/>
  <c r="P47" i="7"/>
  <c r="Y47" i="7" s="1"/>
  <c r="M47" i="7"/>
  <c r="X47" i="7" s="1"/>
  <c r="L48" i="7"/>
  <c r="P48" i="7"/>
  <c r="Y48" i="7" s="1"/>
  <c r="O49" i="7"/>
  <c r="H90" i="7"/>
  <c r="G90" i="7"/>
  <c r="F90" i="7"/>
  <c r="H65" i="3"/>
  <c r="G65" i="3"/>
  <c r="F65" i="3"/>
  <c r="E91" i="7" s="1"/>
  <c r="I65" i="3"/>
  <c r="D66" i="3"/>
  <c r="U49" i="7" l="1"/>
  <c r="V49" i="7" s="1"/>
  <c r="AA49" i="7" s="1"/>
  <c r="S48" i="7"/>
  <c r="Z48" i="7" s="1"/>
  <c r="R49" i="7"/>
  <c r="M48" i="7"/>
  <c r="X48" i="7" s="1"/>
  <c r="L49" i="7"/>
  <c r="P49" i="7"/>
  <c r="Y49" i="7" s="1"/>
  <c r="O50" i="7"/>
  <c r="H91" i="7"/>
  <c r="F91" i="7"/>
  <c r="G91" i="7"/>
  <c r="D67" i="3"/>
  <c r="H66" i="3"/>
  <c r="G66" i="3"/>
  <c r="F66" i="3"/>
  <c r="E92" i="7" s="1"/>
  <c r="I66" i="3"/>
  <c r="U50" i="7" l="1"/>
  <c r="V50" i="7" s="1"/>
  <c r="AA50" i="7" s="1"/>
  <c r="S49" i="7"/>
  <c r="Z49" i="7" s="1"/>
  <c r="R50" i="7"/>
  <c r="M49" i="7"/>
  <c r="X49" i="7" s="1"/>
  <c r="L50" i="7"/>
  <c r="P50" i="7"/>
  <c r="Y50" i="7" s="1"/>
  <c r="O51" i="7"/>
  <c r="H92" i="7"/>
  <c r="F92" i="7"/>
  <c r="G92" i="7"/>
  <c r="H67" i="3"/>
  <c r="D68" i="3"/>
  <c r="F67" i="3"/>
  <c r="E93" i="7" s="1"/>
  <c r="G67" i="3"/>
  <c r="I67" i="3"/>
  <c r="U51" i="7" l="1"/>
  <c r="S50" i="7"/>
  <c r="Z50" i="7" s="1"/>
  <c r="R51" i="7"/>
  <c r="L51" i="7"/>
  <c r="M50" i="7"/>
  <c r="X50" i="7" s="1"/>
  <c r="O52" i="7"/>
  <c r="P51" i="7"/>
  <c r="Y51" i="7" s="1"/>
  <c r="H93" i="7"/>
  <c r="G93" i="7"/>
  <c r="F93" i="7"/>
  <c r="I68" i="3"/>
  <c r="D69" i="3"/>
  <c r="F68" i="3"/>
  <c r="E94" i="7" s="1"/>
  <c r="G68" i="3"/>
  <c r="H68" i="3"/>
  <c r="V51" i="7" l="1"/>
  <c r="AA51" i="7" s="1"/>
  <c r="U52" i="7"/>
  <c r="S51" i="7"/>
  <c r="Z51" i="7" s="1"/>
  <c r="R52" i="7"/>
  <c r="L52" i="7"/>
  <c r="M51" i="7"/>
  <c r="X51" i="7" s="1"/>
  <c r="O53" i="7"/>
  <c r="P52" i="7"/>
  <c r="Y52" i="7" s="1"/>
  <c r="H94" i="7"/>
  <c r="F94" i="7"/>
  <c r="G94" i="7"/>
  <c r="F69" i="3"/>
  <c r="E95" i="7" s="1"/>
  <c r="H69" i="3"/>
  <c r="G69" i="3"/>
  <c r="D70" i="3"/>
  <c r="I69" i="3"/>
  <c r="V52" i="7" l="1"/>
  <c r="AA52" i="7" s="1"/>
  <c r="U53" i="7"/>
  <c r="R53" i="7"/>
  <c r="S52" i="7"/>
  <c r="Z52" i="7" s="1"/>
  <c r="P53" i="7"/>
  <c r="Y53" i="7" s="1"/>
  <c r="O54" i="7"/>
  <c r="M52" i="7"/>
  <c r="X52" i="7" s="1"/>
  <c r="L53" i="7"/>
  <c r="H95" i="7"/>
  <c r="G95" i="7"/>
  <c r="F95" i="7"/>
  <c r="H70" i="3"/>
  <c r="F70" i="3"/>
  <c r="E96" i="7" s="1"/>
  <c r="I70" i="3"/>
  <c r="D71" i="3"/>
  <c r="G70" i="3"/>
  <c r="U54" i="7" l="1"/>
  <c r="V53" i="7"/>
  <c r="AA53" i="7" s="1"/>
  <c r="S53" i="7"/>
  <c r="Z53" i="7" s="1"/>
  <c r="R54" i="7"/>
  <c r="P54" i="7"/>
  <c r="Y54" i="7" s="1"/>
  <c r="O55" i="7"/>
  <c r="M53" i="7"/>
  <c r="X53" i="7" s="1"/>
  <c r="L54" i="7"/>
  <c r="H96" i="7"/>
  <c r="G96" i="7"/>
  <c r="F96" i="7"/>
  <c r="D72" i="3"/>
  <c r="I71" i="3"/>
  <c r="G71" i="3"/>
  <c r="F71" i="3"/>
  <c r="E97" i="7" s="1"/>
  <c r="H71" i="3"/>
  <c r="V54" i="7" l="1"/>
  <c r="AA54" i="7" s="1"/>
  <c r="U55" i="7"/>
  <c r="R55" i="7"/>
  <c r="S54" i="7"/>
  <c r="Z54" i="7" s="1"/>
  <c r="O56" i="7"/>
  <c r="P55" i="7"/>
  <c r="Y55" i="7" s="1"/>
  <c r="M54" i="7"/>
  <c r="X54" i="7" s="1"/>
  <c r="L55" i="7"/>
  <c r="H97" i="7"/>
  <c r="F97" i="7"/>
  <c r="G97" i="7"/>
  <c r="D73" i="3"/>
  <c r="H72" i="3"/>
  <c r="F72" i="3"/>
  <c r="E98" i="7" s="1"/>
  <c r="I72" i="3"/>
  <c r="G72" i="3"/>
  <c r="U56" i="7" l="1"/>
  <c r="V55" i="7"/>
  <c r="AA55" i="7" s="1"/>
  <c r="S55" i="7"/>
  <c r="Z55" i="7" s="1"/>
  <c r="R56" i="7"/>
  <c r="M55" i="7"/>
  <c r="X55" i="7" s="1"/>
  <c r="L56" i="7"/>
  <c r="P56" i="7"/>
  <c r="Y56" i="7" s="1"/>
  <c r="O57" i="7"/>
  <c r="H98" i="7"/>
  <c r="G98" i="7"/>
  <c r="F98" i="7"/>
  <c r="D74" i="3"/>
  <c r="I73" i="3"/>
  <c r="G73" i="3"/>
  <c r="F73" i="3"/>
  <c r="E99" i="7" s="1"/>
  <c r="H73" i="3"/>
  <c r="V56" i="7" l="1"/>
  <c r="AA56" i="7" s="1"/>
  <c r="U57" i="7"/>
  <c r="R57" i="7"/>
  <c r="S56" i="7"/>
  <c r="Z56" i="7" s="1"/>
  <c r="M56" i="7"/>
  <c r="X56" i="7" s="1"/>
  <c r="L57" i="7"/>
  <c r="O58" i="7"/>
  <c r="P57" i="7"/>
  <c r="Y57" i="7" s="1"/>
  <c r="H99" i="7"/>
  <c r="F99" i="7"/>
  <c r="G99" i="7"/>
  <c r="H74" i="3"/>
  <c r="F74" i="3"/>
  <c r="E100" i="7" s="1"/>
  <c r="I74" i="3"/>
  <c r="D75" i="3"/>
  <c r="D76" i="3" s="1"/>
  <c r="G74" i="3"/>
  <c r="V57" i="7" l="1"/>
  <c r="AA57" i="7" s="1"/>
  <c r="U58" i="7"/>
  <c r="S57" i="7"/>
  <c r="Z57" i="7" s="1"/>
  <c r="R58" i="7"/>
  <c r="M57" i="7"/>
  <c r="X57" i="7" s="1"/>
  <c r="L58" i="7"/>
  <c r="P58" i="7"/>
  <c r="Y58" i="7" s="1"/>
  <c r="O59" i="7"/>
  <c r="D77" i="3"/>
  <c r="I76" i="3"/>
  <c r="H102" i="7" s="1"/>
  <c r="F76" i="3"/>
  <c r="E102" i="7" s="1"/>
  <c r="H76" i="3"/>
  <c r="G102" i="7" s="1"/>
  <c r="G76" i="3"/>
  <c r="F102" i="7" s="1"/>
  <c r="H100" i="7"/>
  <c r="G100" i="7"/>
  <c r="F100" i="7"/>
  <c r="I75" i="3"/>
  <c r="H101" i="7" s="1"/>
  <c r="F75" i="3"/>
  <c r="E101" i="7" s="1"/>
  <c r="G75" i="3"/>
  <c r="F101" i="7" s="1"/>
  <c r="H75" i="3"/>
  <c r="G101" i="7" s="1"/>
  <c r="V58" i="7" l="1"/>
  <c r="AA58" i="7" s="1"/>
  <c r="U59" i="7"/>
  <c r="S58" i="7"/>
  <c r="Z58" i="7" s="1"/>
  <c r="R59" i="7"/>
  <c r="P59" i="7"/>
  <c r="Y59" i="7" s="1"/>
  <c r="O60" i="7"/>
  <c r="M58" i="7"/>
  <c r="X58" i="7" s="1"/>
  <c r="L59" i="7"/>
  <c r="D78" i="3"/>
  <c r="I77" i="3"/>
  <c r="H103" i="7" s="1"/>
  <c r="F77" i="3"/>
  <c r="E103" i="7" s="1"/>
  <c r="G77" i="3"/>
  <c r="F103" i="7" s="1"/>
  <c r="H77" i="3"/>
  <c r="G103" i="7" s="1"/>
  <c r="U60" i="7" l="1"/>
  <c r="V59" i="7"/>
  <c r="AA59" i="7" s="1"/>
  <c r="S59" i="7"/>
  <c r="Z59" i="7" s="1"/>
  <c r="R60" i="7"/>
  <c r="P60" i="7"/>
  <c r="Y60" i="7" s="1"/>
  <c r="O61" i="7"/>
  <c r="M59" i="7"/>
  <c r="X59" i="7" s="1"/>
  <c r="L60" i="7"/>
  <c r="D79" i="3"/>
  <c r="I78" i="3"/>
  <c r="H104" i="7" s="1"/>
  <c r="F78" i="3"/>
  <c r="E104" i="7" s="1"/>
  <c r="H78" i="3"/>
  <c r="G104" i="7" s="1"/>
  <c r="G78" i="3"/>
  <c r="F104" i="7" s="1"/>
  <c r="V60" i="7" l="1"/>
  <c r="AA60" i="7" s="1"/>
  <c r="U61" i="7"/>
  <c r="S60" i="7"/>
  <c r="Z60" i="7" s="1"/>
  <c r="R61" i="7"/>
  <c r="M60" i="7"/>
  <c r="X60" i="7" s="1"/>
  <c r="L61" i="7"/>
  <c r="P61" i="7"/>
  <c r="Y61" i="7" s="1"/>
  <c r="O62" i="7"/>
  <c r="D80" i="3"/>
  <c r="F79" i="3"/>
  <c r="E105" i="7" s="1"/>
  <c r="I79" i="3"/>
  <c r="H105" i="7" s="1"/>
  <c r="G79" i="3"/>
  <c r="F105" i="7" s="1"/>
  <c r="H79" i="3"/>
  <c r="G105" i="7" s="1"/>
  <c r="U62" i="7" l="1"/>
  <c r="V61" i="7"/>
  <c r="AA61" i="7" s="1"/>
  <c r="R62" i="7"/>
  <c r="S61" i="7"/>
  <c r="Z61" i="7" s="1"/>
  <c r="M61" i="7"/>
  <c r="X61" i="7" s="1"/>
  <c r="L62" i="7"/>
  <c r="P62" i="7"/>
  <c r="Y62" i="7" s="1"/>
  <c r="O63" i="7"/>
  <c r="I80" i="3"/>
  <c r="H106" i="7" s="1"/>
  <c r="F80" i="3"/>
  <c r="E106" i="7" s="1"/>
  <c r="D81" i="3"/>
  <c r="H80" i="3"/>
  <c r="G106" i="7" s="1"/>
  <c r="G80" i="3"/>
  <c r="F106" i="7" s="1"/>
  <c r="V62" i="7" l="1"/>
  <c r="AA62" i="7" s="1"/>
  <c r="U63" i="7"/>
  <c r="R63" i="7"/>
  <c r="S62" i="7"/>
  <c r="Z62" i="7" s="1"/>
  <c r="O64" i="7"/>
  <c r="P63" i="7"/>
  <c r="Y63" i="7" s="1"/>
  <c r="M62" i="7"/>
  <c r="X62" i="7" s="1"/>
  <c r="L63" i="7"/>
  <c r="H81" i="3"/>
  <c r="G107" i="7" s="1"/>
  <c r="D82" i="3"/>
  <c r="G81" i="3"/>
  <c r="F107" i="7" s="1"/>
  <c r="F81" i="3"/>
  <c r="E107" i="7" s="1"/>
  <c r="I81" i="3"/>
  <c r="H107" i="7" s="1"/>
  <c r="V63" i="7" l="1"/>
  <c r="AA63" i="7" s="1"/>
  <c r="U64" i="7"/>
  <c r="R64" i="7"/>
  <c r="S63" i="7"/>
  <c r="Z63" i="7" s="1"/>
  <c r="M63" i="7"/>
  <c r="X63" i="7" s="1"/>
  <c r="L64" i="7"/>
  <c r="P64" i="7"/>
  <c r="Y64" i="7" s="1"/>
  <c r="O65" i="7"/>
  <c r="H82" i="3"/>
  <c r="G108" i="7" s="1"/>
  <c r="G82" i="3"/>
  <c r="F108" i="7" s="1"/>
  <c r="F82" i="3"/>
  <c r="E108" i="7" s="1"/>
  <c r="D83" i="3"/>
  <c r="I82" i="3"/>
  <c r="H108" i="7" s="1"/>
  <c r="U65" i="7" l="1"/>
  <c r="V64" i="7"/>
  <c r="AA64" i="7" s="1"/>
  <c r="R65" i="7"/>
  <c r="S64" i="7"/>
  <c r="Z64" i="7" s="1"/>
  <c r="P65" i="7"/>
  <c r="Y65" i="7" s="1"/>
  <c r="O66" i="7"/>
  <c r="L65" i="7"/>
  <c r="M64" i="7"/>
  <c r="X64" i="7" s="1"/>
  <c r="H83" i="3"/>
  <c r="G109" i="7" s="1"/>
  <c r="F83" i="3"/>
  <c r="E109" i="7" s="1"/>
  <c r="D84" i="3"/>
  <c r="G83" i="3"/>
  <c r="F109" i="7" s="1"/>
  <c r="I83" i="3"/>
  <c r="H109" i="7" s="1"/>
  <c r="V65" i="7" l="1"/>
  <c r="AA65" i="7" s="1"/>
  <c r="U66" i="7"/>
  <c r="R66" i="7"/>
  <c r="S65" i="7"/>
  <c r="Z65" i="7" s="1"/>
  <c r="P66" i="7"/>
  <c r="Y66" i="7" s="1"/>
  <c r="O67" i="7"/>
  <c r="M65" i="7"/>
  <c r="X65" i="7" s="1"/>
  <c r="L66" i="7"/>
  <c r="I84" i="3"/>
  <c r="H110" i="7" s="1"/>
  <c r="G84" i="3"/>
  <c r="F110" i="7" s="1"/>
  <c r="F84" i="3"/>
  <c r="E110" i="7" s="1"/>
  <c r="H84" i="3"/>
  <c r="G110" i="7" s="1"/>
  <c r="D85" i="3"/>
  <c r="V66" i="7" l="1"/>
  <c r="AA66" i="7" s="1"/>
  <c r="U67" i="7"/>
  <c r="R67" i="7"/>
  <c r="S66" i="7"/>
  <c r="Z66" i="7" s="1"/>
  <c r="O68" i="7"/>
  <c r="P67" i="7"/>
  <c r="Y67" i="7" s="1"/>
  <c r="M66" i="7"/>
  <c r="X66" i="7" s="1"/>
  <c r="L67" i="7"/>
  <c r="I85" i="3"/>
  <c r="H111" i="7" s="1"/>
  <c r="H85" i="3"/>
  <c r="G111" i="7" s="1"/>
  <c r="G85" i="3"/>
  <c r="F111" i="7" s="1"/>
  <c r="D86" i="3"/>
  <c r="F85" i="3"/>
  <c r="E111" i="7" s="1"/>
  <c r="V67" i="7" l="1"/>
  <c r="AA67" i="7" s="1"/>
  <c r="U68" i="7"/>
  <c r="R68" i="7"/>
  <c r="S67" i="7"/>
  <c r="Z67" i="7" s="1"/>
  <c r="M67" i="7"/>
  <c r="X67" i="7" s="1"/>
  <c r="L68" i="7"/>
  <c r="P68" i="7"/>
  <c r="Y68" i="7" s="1"/>
  <c r="O69" i="7"/>
  <c r="H86" i="3"/>
  <c r="G86" i="3"/>
  <c r="F86" i="3"/>
  <c r="D87" i="3"/>
  <c r="I86" i="3"/>
  <c r="U69" i="7" l="1"/>
  <c r="V68" i="7"/>
  <c r="AA68" i="7" s="1"/>
  <c r="S68" i="7"/>
  <c r="Z68" i="7" s="1"/>
  <c r="R69" i="7"/>
  <c r="P69" i="7"/>
  <c r="Y69" i="7" s="1"/>
  <c r="O70" i="7"/>
  <c r="M68" i="7"/>
  <c r="X68" i="7" s="1"/>
  <c r="L69" i="7"/>
  <c r="H87" i="3"/>
  <c r="I87" i="3"/>
  <c r="G87" i="3"/>
  <c r="F87" i="3"/>
  <c r="D88" i="3"/>
  <c r="U70" i="7" l="1"/>
  <c r="V69" i="7"/>
  <c r="AA69" i="7" s="1"/>
  <c r="S69" i="7"/>
  <c r="Z69" i="7" s="1"/>
  <c r="R70" i="7"/>
  <c r="P70" i="7"/>
  <c r="Y70" i="7" s="1"/>
  <c r="O71" i="7"/>
  <c r="M69" i="7"/>
  <c r="X69" i="7" s="1"/>
  <c r="L70" i="7"/>
  <c r="H88" i="3"/>
  <c r="F88" i="3"/>
  <c r="D89" i="3"/>
  <c r="I88" i="3"/>
  <c r="G88" i="3"/>
  <c r="U71" i="7" l="1"/>
  <c r="V70" i="7"/>
  <c r="AA70" i="7" s="1"/>
  <c r="S70" i="7"/>
  <c r="Z70" i="7" s="1"/>
  <c r="R71" i="7"/>
  <c r="P71" i="7"/>
  <c r="Y71" i="7" s="1"/>
  <c r="O72" i="7"/>
  <c r="M70" i="7"/>
  <c r="X70" i="7" s="1"/>
  <c r="L71" i="7"/>
  <c r="D90" i="3"/>
  <c r="H89" i="3"/>
  <c r="G89" i="3"/>
  <c r="F89" i="3"/>
  <c r="I89" i="3"/>
  <c r="V71" i="7" l="1"/>
  <c r="AA71" i="7" s="1"/>
  <c r="U72" i="7"/>
  <c r="S71" i="7"/>
  <c r="Z71" i="7" s="1"/>
  <c r="R72" i="7"/>
  <c r="P72" i="7"/>
  <c r="Y72" i="7" s="1"/>
  <c r="O73" i="7"/>
  <c r="M71" i="7"/>
  <c r="X71" i="7" s="1"/>
  <c r="L72" i="7"/>
  <c r="D91" i="3"/>
  <c r="H90" i="3"/>
  <c r="F90" i="3"/>
  <c r="G90" i="3"/>
  <c r="I90" i="3"/>
  <c r="V72" i="7" l="1"/>
  <c r="AA72" i="7" s="1"/>
  <c r="U73" i="7"/>
  <c r="R73" i="7"/>
  <c r="S72" i="7"/>
  <c r="Z72" i="7" s="1"/>
  <c r="O74" i="7"/>
  <c r="P73" i="7"/>
  <c r="Y73" i="7" s="1"/>
  <c r="M72" i="7"/>
  <c r="X72" i="7" s="1"/>
  <c r="L73" i="7"/>
  <c r="I91" i="3"/>
  <c r="F91" i="3"/>
  <c r="D92" i="3"/>
  <c r="H91" i="3"/>
  <c r="G91" i="3"/>
  <c r="V73" i="7" l="1"/>
  <c r="AA73" i="7" s="1"/>
  <c r="U74" i="7"/>
  <c r="S73" i="7"/>
  <c r="Z73" i="7" s="1"/>
  <c r="R74" i="7"/>
  <c r="P74" i="7"/>
  <c r="Y74" i="7" s="1"/>
  <c r="O75" i="7"/>
  <c r="M73" i="7"/>
  <c r="X73" i="7" s="1"/>
  <c r="L74" i="7"/>
  <c r="D93" i="3"/>
  <c r="I92" i="3"/>
  <c r="H92" i="3"/>
  <c r="G92" i="3"/>
  <c r="F92" i="3"/>
  <c r="U75" i="7" l="1"/>
  <c r="V74" i="7"/>
  <c r="AA74" i="7" s="1"/>
  <c r="R75" i="7"/>
  <c r="S74" i="7"/>
  <c r="Z74" i="7" s="1"/>
  <c r="P75" i="7"/>
  <c r="Y75" i="7" s="1"/>
  <c r="O76" i="7"/>
  <c r="M74" i="7"/>
  <c r="X74" i="7" s="1"/>
  <c r="L75" i="7"/>
  <c r="H93" i="3"/>
  <c r="D94" i="3"/>
  <c r="F93" i="3"/>
  <c r="G93" i="3"/>
  <c r="I93" i="3"/>
  <c r="U76" i="7" l="1"/>
  <c r="V75" i="7"/>
  <c r="AA75" i="7" s="1"/>
  <c r="R76" i="7"/>
  <c r="S75" i="7"/>
  <c r="Z75" i="7" s="1"/>
  <c r="P76" i="7"/>
  <c r="Y76" i="7" s="1"/>
  <c r="O77" i="7"/>
  <c r="M75" i="7"/>
  <c r="X75" i="7" s="1"/>
  <c r="L76" i="7"/>
  <c r="D95" i="3"/>
  <c r="I94" i="3"/>
  <c r="H94" i="3"/>
  <c r="G94" i="3"/>
  <c r="F94" i="3"/>
  <c r="V76" i="7" l="1"/>
  <c r="AA76" i="7" s="1"/>
  <c r="U77" i="7"/>
  <c r="S76" i="7"/>
  <c r="Z76" i="7" s="1"/>
  <c r="R77" i="7"/>
  <c r="L77" i="7"/>
  <c r="M76" i="7"/>
  <c r="X76" i="7" s="1"/>
  <c r="P77" i="7"/>
  <c r="Y77" i="7" s="1"/>
  <c r="O78" i="7"/>
  <c r="D96" i="3"/>
  <c r="I95" i="3"/>
  <c r="F95" i="3"/>
  <c r="H95" i="3"/>
  <c r="G95" i="3"/>
  <c r="V77" i="7" l="1"/>
  <c r="AA77" i="7" s="1"/>
  <c r="U78" i="7"/>
  <c r="S77" i="7"/>
  <c r="Z77" i="7" s="1"/>
  <c r="R78" i="7"/>
  <c r="P78" i="7"/>
  <c r="Y78" i="7" s="1"/>
  <c r="O79" i="7"/>
  <c r="M77" i="7"/>
  <c r="X77" i="7" s="1"/>
  <c r="L78" i="7"/>
  <c r="D97" i="3"/>
  <c r="I96" i="3"/>
  <c r="H96" i="3"/>
  <c r="G96" i="3"/>
  <c r="F96" i="3"/>
  <c r="V78" i="7" l="1"/>
  <c r="AA78" i="7" s="1"/>
  <c r="U79" i="7"/>
  <c r="S78" i="7"/>
  <c r="Z78" i="7" s="1"/>
  <c r="R79" i="7"/>
  <c r="O80" i="7"/>
  <c r="P79" i="7"/>
  <c r="Y79" i="7" s="1"/>
  <c r="M78" i="7"/>
  <c r="X78" i="7" s="1"/>
  <c r="L79" i="7"/>
  <c r="D98" i="3"/>
  <c r="H97" i="3"/>
  <c r="I97" i="3"/>
  <c r="G97" i="3"/>
  <c r="F97" i="3"/>
  <c r="V79" i="7" l="1"/>
  <c r="AA79" i="7" s="1"/>
  <c r="U80" i="7"/>
  <c r="R80" i="7"/>
  <c r="S79" i="7"/>
  <c r="Z79" i="7" s="1"/>
  <c r="M79" i="7"/>
  <c r="X79" i="7" s="1"/>
  <c r="L80" i="7"/>
  <c r="P80" i="7"/>
  <c r="Y80" i="7" s="1"/>
  <c r="O81" i="7"/>
  <c r="D99" i="3"/>
  <c r="I98" i="3"/>
  <c r="H98" i="3"/>
  <c r="G98" i="3"/>
  <c r="F98" i="3"/>
  <c r="V80" i="7" l="1"/>
  <c r="AA80" i="7" s="1"/>
  <c r="U81" i="7"/>
  <c r="R81" i="7"/>
  <c r="S80" i="7"/>
  <c r="Z80" i="7" s="1"/>
  <c r="M80" i="7"/>
  <c r="X80" i="7" s="1"/>
  <c r="L81" i="7"/>
  <c r="P81" i="7"/>
  <c r="Y81" i="7" s="1"/>
  <c r="O82" i="7"/>
  <c r="D100" i="3"/>
  <c r="I99" i="3"/>
  <c r="H99" i="3"/>
  <c r="G99" i="3"/>
  <c r="F99" i="3"/>
  <c r="U82" i="7" l="1"/>
  <c r="V81" i="7"/>
  <c r="AA81" i="7" s="1"/>
  <c r="S81" i="7"/>
  <c r="Z81" i="7" s="1"/>
  <c r="R82" i="7"/>
  <c r="P82" i="7"/>
  <c r="Y82" i="7" s="1"/>
  <c r="O83" i="7"/>
  <c r="M81" i="7"/>
  <c r="X81" i="7" s="1"/>
  <c r="L82" i="7"/>
  <c r="H100" i="3"/>
  <c r="F100" i="3"/>
  <c r="G100" i="3"/>
  <c r="I100" i="3"/>
  <c r="V82" i="7" l="1"/>
  <c r="AA82" i="7" s="1"/>
  <c r="U83" i="7"/>
  <c r="S82" i="7"/>
  <c r="Z82" i="7" s="1"/>
  <c r="R83" i="7"/>
  <c r="P83" i="7"/>
  <c r="Y83" i="7" s="1"/>
  <c r="O84" i="7"/>
  <c r="M82" i="7"/>
  <c r="X82" i="7" s="1"/>
  <c r="L83" i="7"/>
  <c r="U84" i="7" l="1"/>
  <c r="V83" i="7"/>
  <c r="AA83" i="7" s="1"/>
  <c r="R84" i="7"/>
  <c r="S83" i="7"/>
  <c r="Z83" i="7" s="1"/>
  <c r="M83" i="7"/>
  <c r="X83" i="7" s="1"/>
  <c r="L84" i="7"/>
  <c r="P84" i="7"/>
  <c r="Y84" i="7" s="1"/>
  <c r="O85" i="7"/>
  <c r="V84" i="7" l="1"/>
  <c r="AA84" i="7" s="1"/>
  <c r="U85" i="7"/>
  <c r="R85" i="7"/>
  <c r="S84" i="7"/>
  <c r="Z84" i="7" s="1"/>
  <c r="M84" i="7"/>
  <c r="X84" i="7" s="1"/>
  <c r="L85" i="7"/>
  <c r="P85" i="7"/>
  <c r="Y85" i="7" s="1"/>
  <c r="O86" i="7"/>
  <c r="U86" i="7" l="1"/>
  <c r="V85" i="7"/>
  <c r="AA85" i="7" s="1"/>
  <c r="S85" i="7"/>
  <c r="Z85" i="7" s="1"/>
  <c r="R86" i="7"/>
  <c r="P86" i="7"/>
  <c r="Y86" i="7" s="1"/>
  <c r="O87" i="7"/>
  <c r="M85" i="7"/>
  <c r="X85" i="7" s="1"/>
  <c r="L86" i="7"/>
  <c r="V86" i="7" l="1"/>
  <c r="AA86" i="7" s="1"/>
  <c r="U87" i="7"/>
  <c r="S86" i="7"/>
  <c r="Z86" i="7" s="1"/>
  <c r="R87" i="7"/>
  <c r="P87" i="7"/>
  <c r="Y87" i="7" s="1"/>
  <c r="O88" i="7"/>
  <c r="M86" i="7"/>
  <c r="X86" i="7" s="1"/>
  <c r="L87" i="7"/>
  <c r="V87" i="7" l="1"/>
  <c r="AA87" i="7" s="1"/>
  <c r="U88" i="7"/>
  <c r="R88" i="7"/>
  <c r="S87" i="7"/>
  <c r="Z87" i="7" s="1"/>
  <c r="M87" i="7"/>
  <c r="X87" i="7" s="1"/>
  <c r="L88" i="7"/>
  <c r="P88" i="7"/>
  <c r="Y88" i="7" s="1"/>
  <c r="O89" i="7"/>
  <c r="V88" i="7" l="1"/>
  <c r="AA88" i="7" s="1"/>
  <c r="U89" i="7"/>
  <c r="S88" i="7"/>
  <c r="Z88" i="7" s="1"/>
  <c r="R89" i="7"/>
  <c r="M88" i="7"/>
  <c r="X88" i="7" s="1"/>
  <c r="L89" i="7"/>
  <c r="P89" i="7"/>
  <c r="Y89" i="7" s="1"/>
  <c r="O90" i="7"/>
  <c r="U90" i="7" l="1"/>
  <c r="V89" i="7"/>
  <c r="AA89" i="7" s="1"/>
  <c r="S89" i="7"/>
  <c r="Z89" i="7" s="1"/>
  <c r="R90" i="7"/>
  <c r="P90" i="7"/>
  <c r="Y90" i="7" s="1"/>
  <c r="O91" i="7"/>
  <c r="M89" i="7"/>
  <c r="X89" i="7" s="1"/>
  <c r="L90" i="7"/>
  <c r="V90" i="7" l="1"/>
  <c r="AA90" i="7" s="1"/>
  <c r="U91" i="7"/>
  <c r="R91" i="7"/>
  <c r="S90" i="7"/>
  <c r="Z90" i="7" s="1"/>
  <c r="P91" i="7"/>
  <c r="Y91" i="7" s="1"/>
  <c r="O92" i="7"/>
  <c r="M90" i="7"/>
  <c r="X90" i="7" s="1"/>
  <c r="L91" i="7"/>
  <c r="V91" i="7" l="1"/>
  <c r="AA91" i="7" s="1"/>
  <c r="U92" i="7"/>
  <c r="R92" i="7"/>
  <c r="S91" i="7"/>
  <c r="Z91" i="7" s="1"/>
  <c r="M91" i="7"/>
  <c r="X91" i="7" s="1"/>
  <c r="L92" i="7"/>
  <c r="P92" i="7"/>
  <c r="Y92" i="7" s="1"/>
  <c r="O93" i="7"/>
  <c r="U93" i="7" l="1"/>
  <c r="V92" i="7"/>
  <c r="AA92" i="7" s="1"/>
  <c r="R93" i="7"/>
  <c r="S92" i="7"/>
  <c r="Z92" i="7" s="1"/>
  <c r="M92" i="7"/>
  <c r="X92" i="7" s="1"/>
  <c r="L93" i="7"/>
  <c r="P93" i="7"/>
  <c r="Y93" i="7" s="1"/>
  <c r="O94" i="7"/>
  <c r="V93" i="7" l="1"/>
  <c r="AA93" i="7" s="1"/>
  <c r="U94" i="7"/>
  <c r="R94" i="7"/>
  <c r="S93" i="7"/>
  <c r="Z93" i="7" s="1"/>
  <c r="P94" i="7"/>
  <c r="Y94" i="7" s="1"/>
  <c r="O95" i="7"/>
  <c r="M93" i="7"/>
  <c r="X93" i="7" s="1"/>
  <c r="L94" i="7"/>
  <c r="U95" i="7" l="1"/>
  <c r="V94" i="7"/>
  <c r="AA94" i="7" s="1"/>
  <c r="R95" i="7"/>
  <c r="S94" i="7"/>
  <c r="Z94" i="7" s="1"/>
  <c r="P95" i="7"/>
  <c r="Y95" i="7" s="1"/>
  <c r="O96" i="7"/>
  <c r="M94" i="7"/>
  <c r="X94" i="7" s="1"/>
  <c r="L95" i="7"/>
  <c r="V95" i="7" l="1"/>
  <c r="AA95" i="7" s="1"/>
  <c r="U96" i="7"/>
  <c r="R96" i="7"/>
  <c r="S95" i="7"/>
  <c r="Z95" i="7" s="1"/>
  <c r="M95" i="7"/>
  <c r="X95" i="7" s="1"/>
  <c r="L96" i="7"/>
  <c r="P96" i="7"/>
  <c r="Y96" i="7" s="1"/>
  <c r="O97" i="7"/>
  <c r="V96" i="7" l="1"/>
  <c r="AA96" i="7" s="1"/>
  <c r="U97" i="7"/>
  <c r="R97" i="7"/>
  <c r="S96" i="7"/>
  <c r="Z96" i="7" s="1"/>
  <c r="M96" i="7"/>
  <c r="X96" i="7" s="1"/>
  <c r="L97" i="7"/>
  <c r="P97" i="7"/>
  <c r="Y97" i="7" s="1"/>
  <c r="O98" i="7"/>
  <c r="V97" i="7" l="1"/>
  <c r="AA97" i="7" s="1"/>
  <c r="U98" i="7"/>
  <c r="R98" i="7"/>
  <c r="S97" i="7"/>
  <c r="Z97" i="7" s="1"/>
  <c r="P98" i="7"/>
  <c r="Y98" i="7" s="1"/>
  <c r="O99" i="7"/>
  <c r="M97" i="7"/>
  <c r="X97" i="7" s="1"/>
  <c r="L98" i="7"/>
  <c r="V98" i="7" l="1"/>
  <c r="AA98" i="7" s="1"/>
  <c r="U99" i="7"/>
  <c r="R99" i="7"/>
  <c r="S98" i="7"/>
  <c r="Z98" i="7" s="1"/>
  <c r="P99" i="7"/>
  <c r="Y99" i="7" s="1"/>
  <c r="O100" i="7"/>
  <c r="M98" i="7"/>
  <c r="X98" i="7" s="1"/>
  <c r="L99" i="7"/>
  <c r="V99" i="7" l="1"/>
  <c r="AA99" i="7" s="1"/>
  <c r="U100" i="7"/>
  <c r="R100" i="7"/>
  <c r="S99" i="7"/>
  <c r="Z99" i="7" s="1"/>
  <c r="M99" i="7"/>
  <c r="X99" i="7" s="1"/>
  <c r="L100" i="7"/>
  <c r="P100" i="7"/>
  <c r="Y100" i="7" s="1"/>
  <c r="O101" i="7"/>
  <c r="V100" i="7" l="1"/>
  <c r="AA100" i="7" s="1"/>
  <c r="U101" i="7"/>
  <c r="R101" i="7"/>
  <c r="S100" i="7"/>
  <c r="Z100" i="7" s="1"/>
  <c r="M100" i="7"/>
  <c r="X100" i="7" s="1"/>
  <c r="L101" i="7"/>
  <c r="P101" i="7"/>
  <c r="Y101" i="7" s="1"/>
  <c r="O102" i="7"/>
  <c r="V101" i="7" l="1"/>
  <c r="AA101" i="7" s="1"/>
  <c r="U102" i="7"/>
  <c r="R102" i="7"/>
  <c r="S101" i="7"/>
  <c r="Z101" i="7" s="1"/>
  <c r="P102" i="7"/>
  <c r="Y102" i="7" s="1"/>
  <c r="O103" i="7"/>
  <c r="P103" i="7" s="1"/>
  <c r="Y103" i="7" s="1"/>
  <c r="D4" i="15" s="1"/>
  <c r="D5" i="15" s="1"/>
  <c r="M101" i="7"/>
  <c r="X101" i="7" s="1"/>
  <c r="L102" i="7"/>
  <c r="U103" i="7" l="1"/>
  <c r="V103" i="7" s="1"/>
  <c r="AA103" i="7" s="1"/>
  <c r="V102" i="7"/>
  <c r="AA102" i="7" s="1"/>
  <c r="R103" i="7"/>
  <c r="S103" i="7" s="1"/>
  <c r="Z103" i="7" s="1"/>
  <c r="S102" i="7"/>
  <c r="Z102" i="7" s="1"/>
  <c r="Y106" i="7"/>
  <c r="M102" i="7"/>
  <c r="X102" i="7" s="1"/>
  <c r="L103" i="7"/>
  <c r="M103" i="7" s="1"/>
  <c r="X103" i="7" s="1"/>
  <c r="C4" i="15" s="1"/>
  <c r="C5" i="15" l="1"/>
  <c r="E4" i="15"/>
  <c r="E5" i="15" s="1"/>
  <c r="F4" i="15"/>
  <c r="F5" i="15" s="1"/>
  <c r="AA106" i="7"/>
  <c r="Z106" i="7"/>
  <c r="X106" i="7"/>
  <c r="G4" i="15" l="1"/>
  <c r="G5" i="15"/>
  <c r="G3" i="15" l="1"/>
  <c r="C3" i="6" s="1"/>
  <c r="C6" i="6" s="1"/>
  <c r="C7" i="6" l="1"/>
</calcChain>
</file>

<file path=xl/sharedStrings.xml><?xml version="1.0" encoding="utf-8"?>
<sst xmlns="http://schemas.openxmlformats.org/spreadsheetml/2006/main" count="1067" uniqueCount="333">
  <si>
    <t>PM</t>
  </si>
  <si>
    <t>AM</t>
  </si>
  <si>
    <t>proportionate</t>
  </si>
  <si>
    <t>non work</t>
  </si>
  <si>
    <t>work</t>
  </si>
  <si>
    <t>Non-Work VOT Growth
(% pa)</t>
  </si>
  <si>
    <t>Work VOT Growth
(% pa)</t>
  </si>
  <si>
    <t>Year</t>
  </si>
  <si>
    <t>LGV</t>
  </si>
  <si>
    <t>PM Peak</t>
  </si>
  <si>
    <t>AM Peak</t>
  </si>
  <si>
    <t xml:space="preserve">Vehicle hours delay saved - annual </t>
  </si>
  <si>
    <t>Vehicle hours delay saved - peak hour</t>
  </si>
  <si>
    <t>Inputs</t>
  </si>
  <si>
    <t>NPV</t>
  </si>
  <si>
    <t>BCR</t>
  </si>
  <si>
    <t>PVC</t>
  </si>
  <si>
    <t>PVB</t>
  </si>
  <si>
    <t>Value of Benefits</t>
  </si>
  <si>
    <t>2074 Weighted Average</t>
  </si>
  <si>
    <t>2073 Weighted Average</t>
  </si>
  <si>
    <t>2072 Weighted Average</t>
  </si>
  <si>
    <t>2071 Weighted Average</t>
  </si>
  <si>
    <t>2070 Weighted Average</t>
  </si>
  <si>
    <t>2069 Weighted Average</t>
  </si>
  <si>
    <t>2068 Weighted Average</t>
  </si>
  <si>
    <t>2067 Weighted Average</t>
  </si>
  <si>
    <t>2066 Weighted Average</t>
  </si>
  <si>
    <t>2065 Weighted Average</t>
  </si>
  <si>
    <t>2064 Weighted Average</t>
  </si>
  <si>
    <t>2063 Weighted Average</t>
  </si>
  <si>
    <t>2062 Weighted Average</t>
  </si>
  <si>
    <t>2061 Weighted Average</t>
  </si>
  <si>
    <t>2060 Weighted Average</t>
  </si>
  <si>
    <t>2059 Weighted Average</t>
  </si>
  <si>
    <t>2058 Weighted Average</t>
  </si>
  <si>
    <t>2057 Weighted Average</t>
  </si>
  <si>
    <t>2056 Weighted Average</t>
  </si>
  <si>
    <t>2055 Weighted Average</t>
  </si>
  <si>
    <t>2054 Weighted Average</t>
  </si>
  <si>
    <t>2053 Weighted Average</t>
  </si>
  <si>
    <t>2052 Weighted Average</t>
  </si>
  <si>
    <t>2051 Weighted Average</t>
  </si>
  <si>
    <t>2050 Weighted Average</t>
  </si>
  <si>
    <t>2049 Weighted Average</t>
  </si>
  <si>
    <t>2048 Weighted Average</t>
  </si>
  <si>
    <t>2047 Weighted Average</t>
  </si>
  <si>
    <t>2046 Weighted Average</t>
  </si>
  <si>
    <t>2045 Weighted Average</t>
  </si>
  <si>
    <t>2044 Weighted Average</t>
  </si>
  <si>
    <t>2043 Weighted Average</t>
  </si>
  <si>
    <t>2042 Weighted Average</t>
  </si>
  <si>
    <t>2041 Weighted Average</t>
  </si>
  <si>
    <t>2040 Weighted Average</t>
  </si>
  <si>
    <t>2039 Weighted Average</t>
  </si>
  <si>
    <t>2038 Weighted Average</t>
  </si>
  <si>
    <t>2037 Weighted Average</t>
  </si>
  <si>
    <t>2036 Weighted Average</t>
  </si>
  <si>
    <t>2035 Weighted Average</t>
  </si>
  <si>
    <t>2034 Weighted Average</t>
  </si>
  <si>
    <t>2033 Weighted Average</t>
  </si>
  <si>
    <t>2032 Weighted Average</t>
  </si>
  <si>
    <t>2031 Weighted Average</t>
  </si>
  <si>
    <t>2030 Weighted Average</t>
  </si>
  <si>
    <t>2029 Weighted Average</t>
  </si>
  <si>
    <t>2028 Weighted Average</t>
  </si>
  <si>
    <t>2027 Weighted Average</t>
  </si>
  <si>
    <t>2026 Weighted Average</t>
  </si>
  <si>
    <t>2025 Weighted Average</t>
  </si>
  <si>
    <t>2024 Weighted Average</t>
  </si>
  <si>
    <t>2023 Weighted Average</t>
  </si>
  <si>
    <t>2022 Weighted Average</t>
  </si>
  <si>
    <t>2021 Weighted Average</t>
  </si>
  <si>
    <t>2020 Weighted Average</t>
  </si>
  <si>
    <t>Value saved</t>
  </si>
  <si>
    <t>Hours saved</t>
  </si>
  <si>
    <t>2010 Weighted Average</t>
  </si>
  <si>
    <t>Discounted</t>
  </si>
  <si>
    <t>non -work benefit</t>
  </si>
  <si>
    <t>work benefit</t>
  </si>
  <si>
    <t>work benefits</t>
  </si>
  <si>
    <t>work trips</t>
  </si>
  <si>
    <t>PSV</t>
  </si>
  <si>
    <t>HGVs</t>
  </si>
  <si>
    <t>LGVs</t>
  </si>
  <si>
    <t>other</t>
  </si>
  <si>
    <t>commuting</t>
  </si>
  <si>
    <t>Work</t>
  </si>
  <si>
    <t>OGV2</t>
  </si>
  <si>
    <t>commute</t>
  </si>
  <si>
    <t>Bus</t>
  </si>
  <si>
    <t>OGV</t>
  </si>
  <si>
    <t>Car</t>
  </si>
  <si>
    <t>Inter Peak</t>
  </si>
  <si>
    <t xml:space="preserve">Off Peak </t>
  </si>
  <si>
    <t xml:space="preserve">Opening Year </t>
  </si>
  <si>
    <t xml:space="preserve">Future Year </t>
  </si>
  <si>
    <t xml:space="preserve">Peak hour to Peak Period </t>
  </si>
  <si>
    <t>Annualisation factor
 (number of days)</t>
  </si>
  <si>
    <t>Vehicle Proportions</t>
  </si>
  <si>
    <t>IP</t>
  </si>
  <si>
    <t>OP</t>
  </si>
  <si>
    <t>Vehicle Proportions from survey data</t>
  </si>
  <si>
    <t>Business</t>
  </si>
  <si>
    <t>Commuting</t>
  </si>
  <si>
    <t>Other</t>
  </si>
  <si>
    <t xml:space="preserve">Car </t>
  </si>
  <si>
    <t>Interpeak</t>
  </si>
  <si>
    <t>2018 Weighted Average</t>
  </si>
  <si>
    <t>2019 Weighted Average</t>
  </si>
  <si>
    <t>Off Peak</t>
  </si>
  <si>
    <t>IP Benefit</t>
  </si>
  <si>
    <t>OP Benefit</t>
  </si>
  <si>
    <t xml:space="preserve">PVC of scheme </t>
  </si>
  <si>
    <t>Table A 1.3.5:  Market  Price Values of Time per Vehicle based on distance travelled</t>
  </si>
  <si>
    <t xml:space="preserve">Vehicle </t>
  </si>
  <si>
    <t>Weekday</t>
  </si>
  <si>
    <t>Type</t>
  </si>
  <si>
    <t xml:space="preserve"> Journey Purpose</t>
  </si>
  <si>
    <t>7am – 10am</t>
  </si>
  <si>
    <t>10am – 4pm</t>
  </si>
  <si>
    <t>4pm – 7pm</t>
  </si>
  <si>
    <t>7pm – 7am</t>
  </si>
  <si>
    <t>Average</t>
  </si>
  <si>
    <t>Weekend</t>
  </si>
  <si>
    <t>All Week</t>
  </si>
  <si>
    <t xml:space="preserve">Work </t>
  </si>
  <si>
    <t xml:space="preserve">Commuting </t>
  </si>
  <si>
    <t xml:space="preserve">Other </t>
  </si>
  <si>
    <t>Average Car</t>
  </si>
  <si>
    <t>Work (freight)</t>
  </si>
  <si>
    <t>Commuting &amp; Other</t>
  </si>
  <si>
    <t>Average LGV</t>
  </si>
  <si>
    <t>OGV1</t>
  </si>
  <si>
    <t>Working</t>
  </si>
  <si>
    <t xml:space="preserve">PSV </t>
  </si>
  <si>
    <t>(Occupants)</t>
  </si>
  <si>
    <t>Total</t>
  </si>
  <si>
    <t xml:space="preserve">  (£ per hour, 2010 prices and 2010 values)</t>
  </si>
  <si>
    <t>Do Minimum</t>
  </si>
  <si>
    <t>Do Something</t>
  </si>
  <si>
    <t>WebTAG Databook</t>
  </si>
  <si>
    <t>Annual Parameters</t>
  </si>
  <si>
    <t>This version:</t>
  </si>
  <si>
    <t>Notes</t>
  </si>
  <si>
    <t>Sources</t>
  </si>
  <si>
    <t>1. GDP Deflator</t>
  </si>
  <si>
    <t>1990-2015 from ONS MNF2 series, released 30/06/2016</t>
  </si>
  <si>
    <t>2016-2020 from HMT GDP Deflators workbook, published 01/07/2016</t>
  </si>
  <si>
    <t>2021 onwards from June 2015 OBR Fiscal Sustainability Report, p.63 (with 4-year transition to long-term assumption)</t>
  </si>
  <si>
    <t>Links:</t>
  </si>
  <si>
    <t xml:space="preserve">2. Real GDP </t>
  </si>
  <si>
    <t>1990-2015 from ONS ABMI series, published 30/06/2016 (£m, 2012 prices)</t>
  </si>
  <si>
    <t>2015-2020 from OBR Economic &amp; Fiscal Outlook, table T1.1, published 16/03/2016</t>
  </si>
  <si>
    <t>2021-2064  from 2015 OBR Fiscal Sustainability Report, table 1.1, published 11/06/2015</t>
  </si>
  <si>
    <t>2065 onwards based on OBRFiscal Sustainability Report, table T3.5, 2054/55 to 2064/65 average growth rate, published 11/06/2015</t>
  </si>
  <si>
    <t>Contents</t>
  </si>
  <si>
    <t>3. Population</t>
  </si>
  <si>
    <t>1990-2015 from mid-year population estimates (all ages, '000s), published 23/06/16</t>
  </si>
  <si>
    <t>Projections from 2015-2020 based on ONS 2014 based principal population projection, published 29/10/2015</t>
  </si>
  <si>
    <t>Projections from 2021 onwards based on ONS 2012 based principal population projection, published 06/11/2013. In order to be consistent with the GDP forecast from 2021 onwards, it is necessary to revert to the 2012-based population projections.</t>
  </si>
  <si>
    <t>WebTAG Unit 3.5.6</t>
  </si>
  <si>
    <t>4. Households</t>
  </si>
  <si>
    <t>1996-2015 from Labour Force Survey (UK households, '000s) published 05/11/2015</t>
  </si>
  <si>
    <t>2016-2033 uses 2012-based projections of UK households, published by DCLG</t>
  </si>
  <si>
    <t>Post-2033, household growth is assumed to equal population growth</t>
  </si>
  <si>
    <t>WebTAG Unit A 1.3</t>
  </si>
  <si>
    <t>Parameters:</t>
  </si>
  <si>
    <t>Price year:</t>
  </si>
  <si>
    <t>GDP series: In 2012 the composition of the GDP deflator was altered to use the CPI rather than RPI measure of inflation and, as CPI inflation is generally lower, this increased real GDP growth. Therefore, when forecasting transport demand, it may not be appropriate to apply GDP elasticities estimated</t>
  </si>
  <si>
    <t xml:space="preserve">using the old GDP deflator to forecasts of real GDP growth in terms of the new deflator. In such circumstances it may be necessary to reduce the forecasts of GDP growth given below by 0.2 percentage points to account for the difference between deflators. </t>
  </si>
  <si>
    <t>Sheet Navigation:</t>
  </si>
  <si>
    <t>This tab feeds the following tabs: A 1.3.1, 1.3.2,  1.3.7,  1.3.14,  3.1,  3.2,  3.4,  4.1.1,  4.1.4,  4.1.5,  4.1.6,  4.1.7,  4.1.8,  5.4.2,  5.4.4, Cobalt 2</t>
  </si>
  <si>
    <t>WebTAG1: Unit 3.5.6 (Table 3)</t>
  </si>
  <si>
    <r>
      <t>GDP deflator</t>
    </r>
    <r>
      <rPr>
        <b/>
        <vertAlign val="superscript"/>
        <sz val="10"/>
        <rFont val="Arial"/>
        <family val="2"/>
      </rPr>
      <t>1</t>
    </r>
  </si>
  <si>
    <r>
      <t>Real GDP</t>
    </r>
    <r>
      <rPr>
        <b/>
        <vertAlign val="superscript"/>
        <sz val="10"/>
        <rFont val="Arial"/>
        <family val="2"/>
      </rPr>
      <t>2</t>
    </r>
  </si>
  <si>
    <r>
      <t>Population</t>
    </r>
    <r>
      <rPr>
        <b/>
        <vertAlign val="superscript"/>
        <sz val="10"/>
        <rFont val="Arial"/>
        <family val="2"/>
      </rPr>
      <t>3</t>
    </r>
  </si>
  <si>
    <r>
      <t>Households</t>
    </r>
    <r>
      <rPr>
        <b/>
        <vertAlign val="superscript"/>
        <sz val="10"/>
        <rFont val="Arial"/>
        <family val="2"/>
      </rPr>
      <t>4</t>
    </r>
  </si>
  <si>
    <t>Average GDP per person</t>
  </si>
  <si>
    <t>Average GDP per household</t>
  </si>
  <si>
    <t>Work &amp; Non-Work VoT</t>
  </si>
  <si>
    <t>Non-Work</t>
  </si>
  <si>
    <t>Historic</t>
  </si>
  <si>
    <t>Annual</t>
  </si>
  <si>
    <t>Index</t>
  </si>
  <si>
    <t>VoT</t>
  </si>
  <si>
    <t>Non-work</t>
  </si>
  <si>
    <t>Value</t>
  </si>
  <si>
    <t>Growth</t>
  </si>
  <si>
    <t>1990 = 100</t>
  </si>
  <si>
    <t>1996 = 100</t>
  </si>
  <si>
    <t>(%pa)</t>
  </si>
  <si>
    <t>(% pa)</t>
  </si>
  <si>
    <t>2002 = 100</t>
  </si>
  <si>
    <t>Top</t>
  </si>
  <si>
    <t>Table A 1.3.4:</t>
  </si>
  <si>
    <t xml:space="preserve"> Proportion of travel in work and non-work time</t>
  </si>
  <si>
    <t xml:space="preserve">Mode / Vehicle Type </t>
  </si>
  <si>
    <t>&amp; Journey Purpose</t>
  </si>
  <si>
    <t>Non – Work</t>
  </si>
  <si>
    <t>Heavy Rail</t>
  </si>
  <si>
    <t>Light Rail</t>
  </si>
  <si>
    <t>Percentage of Distance Travelled by Vehicles</t>
  </si>
  <si>
    <t>Percentage of Distance Travelled  by Occupants</t>
  </si>
  <si>
    <t>Breakdown of Car user class %</t>
  </si>
  <si>
    <t>Proportions pulled through from model outputs sheet</t>
  </si>
  <si>
    <t xml:space="preserve">Vehicle costs taken from WebTAG databook A1.3.5 </t>
  </si>
  <si>
    <t>% work trips</t>
  </si>
  <si>
    <t>% work trips taken from VoT calcs sheet</t>
  </si>
  <si>
    <t>Total Benefit</t>
  </si>
  <si>
    <t>PM Benefit</t>
  </si>
  <si>
    <t xml:space="preserve">AM Benefit </t>
  </si>
  <si>
    <t>Annualisation</t>
  </si>
  <si>
    <t>Discount</t>
  </si>
  <si>
    <t>Factor</t>
  </si>
  <si>
    <t>2075 Weighted Average</t>
  </si>
  <si>
    <t>2076 Weighted Average</t>
  </si>
  <si>
    <t>2077 Weighted Average</t>
  </si>
  <si>
    <t>2078 Weighted Average</t>
  </si>
  <si>
    <t>2079 Weighted Average</t>
  </si>
  <si>
    <t>2080 Weighted Average</t>
  </si>
  <si>
    <t>2081 Weighted Average</t>
  </si>
  <si>
    <t>2082 Weighted Average</t>
  </si>
  <si>
    <t>2083 Weighted Average</t>
  </si>
  <si>
    <t>2084 Weighted Average</t>
  </si>
  <si>
    <t>2085 Weighted Average</t>
  </si>
  <si>
    <t>Optimism Bias</t>
  </si>
  <si>
    <t>Deflation Factor</t>
  </si>
  <si>
    <t>GDP Deflator Value (2010)</t>
  </si>
  <si>
    <t>Scheme Cost Estimate (2017)</t>
  </si>
  <si>
    <t>GDP Deflator Value (2017)</t>
  </si>
  <si>
    <t>Discount Factor (2019 @ 3.5%)</t>
  </si>
  <si>
    <t>Taxation Factor (19%)</t>
  </si>
  <si>
    <t>Year of Construction</t>
  </si>
  <si>
    <t>Adjustment Factor for Real Cost Increase i.e. difference between construction sector inflation at 5.2% pa and economy-wide inflation at 2.5% pa</t>
  </si>
  <si>
    <t>Conversion Factor</t>
  </si>
  <si>
    <t>Do Minimum Total Delay - Vehicle minutes - Aimsun</t>
  </si>
  <si>
    <t>Vehicle Hours delay - Aimsun</t>
  </si>
  <si>
    <t>Do Something Total Delay - Vehicle minutes - Aimsun</t>
  </si>
  <si>
    <t>Peak Hour - Peak Period Expansion Factor (Aimsun)</t>
  </si>
  <si>
    <t>BCR calculation using Aimsun</t>
  </si>
  <si>
    <t>Subpath</t>
  </si>
  <si>
    <t>AMP Flow (vehs)</t>
  </si>
  <si>
    <t>AMP Average Journey Time (secs)</t>
  </si>
  <si>
    <t>Do Min</t>
  </si>
  <si>
    <t>Do Some</t>
  </si>
  <si>
    <t>Diff</t>
  </si>
  <si>
    <t>PMP Flow (vehs)</t>
  </si>
  <si>
    <t>PMP Average Journey Time (secs)</t>
  </si>
  <si>
    <t xml:space="preserve">Scheme Title </t>
  </si>
  <si>
    <t>Chesterfield Road - Heeley Bridge / Broadfield Road</t>
  </si>
  <si>
    <t xml:space="preserve">Name </t>
  </si>
  <si>
    <t>Andrew Marwood</t>
  </si>
  <si>
    <t xml:space="preserve">Date </t>
  </si>
  <si>
    <t xml:space="preserve">Series </t>
  </si>
  <si>
    <t>Preliminaries (8%) of works costs</t>
  </si>
  <si>
    <t>Site Clearance</t>
  </si>
  <si>
    <t xml:space="preserve">Fencing </t>
  </si>
  <si>
    <t>Road Restriant Systems (Vehicle and Pedestrian)</t>
  </si>
  <si>
    <t xml:space="preserve">Drainage &amp; Ducting </t>
  </si>
  <si>
    <t>Earthworks</t>
  </si>
  <si>
    <t>Pavements</t>
  </si>
  <si>
    <t>Kerbing and Footways</t>
  </si>
  <si>
    <t>Traffic Signs and Road Markings</t>
  </si>
  <si>
    <t>1200a</t>
  </si>
  <si>
    <t>Traffic Signals</t>
  </si>
  <si>
    <t>Street Lighting / CCTV masts / ennforcement Cameras</t>
  </si>
  <si>
    <t xml:space="preserve">Electrical Works </t>
  </si>
  <si>
    <t>2100-2300</t>
  </si>
  <si>
    <t xml:space="preserve">Bridge Works </t>
  </si>
  <si>
    <t xml:space="preserve">Landscaping and Ecology </t>
  </si>
  <si>
    <t>Others</t>
  </si>
  <si>
    <t xml:space="preserve">Footway Bridge </t>
  </si>
  <si>
    <t xml:space="preserve">Total Amey Works Costs </t>
  </si>
  <si>
    <t>AN</t>
  </si>
  <si>
    <t>Dayworks @ 5%</t>
  </si>
  <si>
    <t>TM @25%</t>
  </si>
  <si>
    <t>Stats (C2 / C3)</t>
  </si>
  <si>
    <t>Design Fees (Amey)</t>
  </si>
  <si>
    <t>Topo / Stats Search / Trial Holes</t>
  </si>
  <si>
    <t xml:space="preserve">Land Acquisitions / Legal Fees </t>
  </si>
  <si>
    <t xml:space="preserve">Total Costs </t>
  </si>
  <si>
    <t xml:space="preserve">CostEstimate (SCC) </t>
  </si>
  <si>
    <t>Preffered Scheme</t>
  </si>
  <si>
    <t>Aimsun Vehicle Minutes</t>
  </si>
  <si>
    <t>PMP Total Journey Time (veh-secs)</t>
  </si>
  <si>
    <t>PMP Total Journey Time (veh-mins)</t>
  </si>
  <si>
    <t>AMP Total Journey Time (veh-secs)</t>
  </si>
  <si>
    <t>AMP Total Journey Time (veh-mins)</t>
  </si>
  <si>
    <t>z1</t>
  </si>
  <si>
    <t>z2</t>
  </si>
  <si>
    <t>z3</t>
  </si>
  <si>
    <t>z4</t>
  </si>
  <si>
    <t>z5</t>
  </si>
  <si>
    <t>z6</t>
  </si>
  <si>
    <t>Flow</t>
  </si>
  <si>
    <t>JT</t>
  </si>
  <si>
    <t>PMP All Vehicles</t>
  </si>
  <si>
    <t>DM Veh-Hrs</t>
  </si>
  <si>
    <t>Dist Skim</t>
  </si>
  <si>
    <t>AMP All Vehicles</t>
  </si>
  <si>
    <t>Trips</t>
  </si>
  <si>
    <t>DS Veh-Hrs</t>
  </si>
  <si>
    <t>Veh-km</t>
  </si>
  <si>
    <t>DM Time Skim</t>
  </si>
  <si>
    <t>DS Time Skim</t>
  </si>
  <si>
    <t>Local Contribution (@ 30%)</t>
  </si>
  <si>
    <t>NPIF Funding Sought</t>
  </si>
  <si>
    <t>Outturn Scheme Cost</t>
  </si>
  <si>
    <t>Allowance for inflation (@ 5.2% per annum)</t>
  </si>
  <si>
    <t>Allowance for OB (@ 44%)</t>
  </si>
  <si>
    <t>DAY</t>
  </si>
  <si>
    <t>Mon</t>
  </si>
  <si>
    <t>Tue</t>
  </si>
  <si>
    <t>Wed</t>
  </si>
  <si>
    <t>Thu</t>
  </si>
  <si>
    <t>Fri</t>
  </si>
  <si>
    <t>Sat</t>
  </si>
  <si>
    <t>Sun</t>
  </si>
  <si>
    <t>AVG</t>
  </si>
  <si>
    <t>DATE:</t>
  </si>
  <si>
    <t>START</t>
  </si>
  <si>
    <t>5-DAY</t>
  </si>
  <si>
    <t>7-DAY</t>
  </si>
  <si>
    <t>London Road / Broadfield Road  (079)  from Jct to/ from City</t>
  </si>
  <si>
    <t>AM Peak to Peak Period</t>
  </si>
  <si>
    <t>PM Peak to Peak Period</t>
  </si>
  <si>
    <t>AMP Buses</t>
  </si>
  <si>
    <t>PMP Buses</t>
  </si>
  <si>
    <t>Bus Trips</t>
  </si>
  <si>
    <t>Passenger Trips</t>
  </si>
  <si>
    <t>DM Pass-Hrs</t>
  </si>
  <si>
    <t>DS Pass-Hrs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</si>
</sst>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0.000"/>
    <numFmt numFmtId="165" formatCode="_-&quot;£&quot;* #,##0_-;\-&quot;£&quot;* #,##0_-;_-&quot;£&quot;* &quot;-&quot;??_-;_-@_-"/>
    <numFmt numFmtId="166" formatCode="_-* #,##0_-;\-* #,##0_-;_-* &quot;-&quot;??_-;_-@_-"/>
    <numFmt numFmtId="167" formatCode="0.0%"/>
    <numFmt numFmtId="168" formatCode="0.0"/>
    <numFmt numFmtId="169" formatCode="&quot;£&quot;#,##0"/>
    <numFmt numFmtId="170" formatCode="0.00000"/>
    <numFmt numFmtId="171" formatCode="0.0000"/>
    <numFmt numFmtId="172" formatCode="&quot;£&quot;#,##0.00"/>
  </numFmts>
  <fonts count="24" x14ac:knownFonts="1">
    <font>
      <sz val="11"/>
      <color theme="1"/>
      <name val="Calibri"/>
      <family val="2"/>
      <scheme val="minor"/>
    </font>
    <font>
      <sz val="11"/>
      <color theme="1"/>
      <name val="Calibri"/>
      <family val="2"/>
      <scheme val="minor"/>
    </font>
    <font>
      <sz val="11"/>
      <color rgb="FF3F3F76"/>
      <name val="Calibri"/>
      <family val="2"/>
      <scheme val="minor"/>
    </font>
    <font>
      <sz val="11"/>
      <color rgb="FFFF0000"/>
      <name val="Calibri"/>
      <family val="2"/>
      <scheme val="minor"/>
    </font>
    <font>
      <b/>
      <sz val="11"/>
      <color theme="1"/>
      <name val="Calibri"/>
      <family val="2"/>
      <scheme val="minor"/>
    </font>
    <font>
      <b/>
      <sz val="11"/>
      <color rgb="FF000000"/>
      <name val="Calibri"/>
      <family val="2"/>
    </font>
    <font>
      <sz val="10"/>
      <color indexed="8"/>
      <name val="Arial"/>
      <family val="2"/>
    </font>
    <font>
      <sz val="10"/>
      <color rgb="FFFF0000"/>
      <name val="Arial"/>
      <family val="2"/>
    </font>
    <font>
      <sz val="10"/>
      <color theme="1"/>
      <name val="Arial"/>
      <family val="2"/>
    </font>
    <font>
      <b/>
      <sz val="10"/>
      <color indexed="8"/>
      <name val="Arial"/>
      <family val="2"/>
    </font>
    <font>
      <b/>
      <sz val="10"/>
      <color indexed="9"/>
      <name val="Arial"/>
      <family val="2"/>
    </font>
    <font>
      <sz val="10"/>
      <color indexed="9"/>
      <name val="Arial"/>
      <family val="2"/>
    </font>
    <font>
      <b/>
      <sz val="10"/>
      <name val="Arial"/>
      <family val="2"/>
    </font>
    <font>
      <sz val="10"/>
      <name val="Arial"/>
      <family val="2"/>
    </font>
    <font>
      <b/>
      <sz val="14"/>
      <name val="Arial"/>
      <family val="2"/>
    </font>
    <font>
      <u/>
      <sz val="10"/>
      <color indexed="12"/>
      <name val="Arial"/>
      <family val="2"/>
    </font>
    <font>
      <b/>
      <sz val="10"/>
      <color indexed="57"/>
      <name val="Arial"/>
      <family val="2"/>
    </font>
    <font>
      <sz val="10"/>
      <color indexed="57"/>
      <name val="Arial"/>
      <family val="2"/>
    </font>
    <font>
      <sz val="10"/>
      <color indexed="12"/>
      <name val="Arial"/>
      <family val="2"/>
    </font>
    <font>
      <b/>
      <vertAlign val="superscript"/>
      <sz val="10"/>
      <name val="Arial"/>
      <family val="2"/>
    </font>
    <font>
      <b/>
      <sz val="10"/>
      <color indexed="10"/>
      <name val="Arial"/>
      <family val="2"/>
    </font>
    <font>
      <b/>
      <sz val="9"/>
      <name val="Arial"/>
      <family val="2"/>
    </font>
    <font>
      <sz val="9"/>
      <name val="Arial"/>
      <family val="2"/>
    </font>
    <font>
      <b/>
      <sz val="11"/>
      <color rgb="FFFF0000"/>
      <name val="Calibri"/>
      <family val="2"/>
      <scheme val="minor"/>
    </font>
  </fonts>
  <fills count="23">
    <fill>
      <patternFill patternType="none"/>
    </fill>
    <fill>
      <patternFill patternType="gray125"/>
    </fill>
    <fill>
      <patternFill patternType="solid">
        <fgColor rgb="FFFFCC99"/>
      </patternFill>
    </fill>
    <fill>
      <patternFill patternType="solid">
        <fgColor indexed="2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indexed="17"/>
        <bgColor indexed="64"/>
      </patternFill>
    </fill>
    <fill>
      <patternFill patternType="solid">
        <fgColor indexed="42"/>
        <bgColor indexed="64"/>
      </patternFill>
    </fill>
    <fill>
      <patternFill patternType="solid">
        <fgColor theme="2" tint="-9.9978637043366805E-2"/>
        <bgColor indexed="64"/>
      </patternFill>
    </fill>
    <fill>
      <patternFill patternType="solid">
        <fgColor indexed="9"/>
        <bgColor indexed="64"/>
      </patternFill>
    </fill>
    <fill>
      <patternFill patternType="gray0625"/>
    </fill>
    <fill>
      <patternFill patternType="solid">
        <fgColor indexed="65"/>
        <bgColor indexed="64"/>
      </patternFill>
    </fill>
    <fill>
      <patternFill patternType="solid">
        <fgColor rgb="FF92D05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00B05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FFFF00"/>
        <bgColor indexed="64"/>
      </patternFill>
    </fill>
  </fills>
  <borders count="10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diagonal/>
    </border>
    <border>
      <left style="double">
        <color indexed="64"/>
      </left>
      <right/>
      <top/>
      <bottom/>
      <diagonal/>
    </border>
    <border>
      <left/>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double">
        <color indexed="64"/>
      </right>
      <top/>
      <bottom/>
      <diagonal/>
    </border>
    <border>
      <left style="double">
        <color indexed="64"/>
      </left>
      <right style="double">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rgb="FF7F7F7F"/>
      </left>
      <right style="thin">
        <color rgb="FF7F7F7F"/>
      </right>
      <top style="thin">
        <color rgb="FF7F7F7F"/>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medium">
        <color indexed="64"/>
      </right>
      <top style="thin">
        <color rgb="FF7F7F7F"/>
      </top>
      <bottom style="thin">
        <color rgb="FF7F7F7F"/>
      </bottom>
      <diagonal/>
    </border>
    <border>
      <left style="thin">
        <color rgb="FF7F7F7F"/>
      </left>
      <right style="medium">
        <color indexed="64"/>
      </right>
      <top style="thin">
        <color rgb="FF7F7F7F"/>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indexed="17"/>
      </bottom>
      <diagonal/>
    </border>
    <border>
      <left/>
      <right/>
      <top style="thick">
        <color indexed="17"/>
      </top>
      <bottom style="double">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style="thin">
        <color indexed="64"/>
      </right>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style="thin">
        <color indexed="64"/>
      </right>
      <top/>
      <bottom/>
      <diagonal/>
    </border>
    <border>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3" fillId="0" borderId="0"/>
    <xf numFmtId="0" fontId="15" fillId="0" borderId="0" applyNumberFormat="0" applyFill="0" applyBorder="0" applyAlignment="0" applyProtection="0">
      <alignment vertical="top"/>
      <protection locked="0"/>
    </xf>
    <xf numFmtId="9" fontId="13" fillId="0" borderId="0" applyFont="0" applyFill="0" applyBorder="0" applyAlignment="0" applyProtection="0"/>
  </cellStyleXfs>
  <cellXfs count="525">
    <xf numFmtId="0" fontId="0" fillId="0" borderId="0" xfId="0"/>
    <xf numFmtId="0" fontId="0" fillId="0" borderId="0" xfId="0" applyAlignment="1">
      <alignment wrapText="1"/>
    </xf>
    <xf numFmtId="0" fontId="0" fillId="0" borderId="0" xfId="0" applyAlignment="1">
      <alignment horizontal="center" vertical="center"/>
    </xf>
    <xf numFmtId="44" fontId="0" fillId="0" borderId="0" xfId="0" applyNumberFormat="1" applyAlignment="1">
      <alignment horizontal="center" vertical="center"/>
    </xf>
    <xf numFmtId="165" fontId="0" fillId="0" borderId="0" xfId="0" applyNumberFormat="1" applyAlignment="1">
      <alignment horizontal="center" vertical="center"/>
    </xf>
    <xf numFmtId="44" fontId="0" fillId="0" borderId="0" xfId="2" applyFont="1" applyAlignment="1">
      <alignment horizontal="center" vertical="center"/>
    </xf>
    <xf numFmtId="166" fontId="0" fillId="0" borderId="0" xfId="1" applyNumberFormat="1" applyFont="1" applyAlignment="1">
      <alignment horizontal="center" vertical="center"/>
    </xf>
    <xf numFmtId="0" fontId="5" fillId="0" borderId="0" xfId="0" applyFont="1" applyBorder="1" applyAlignment="1">
      <alignment horizontal="center" vertical="center"/>
    </xf>
    <xf numFmtId="0" fontId="0" fillId="0" borderId="0" xfId="0" applyAlignment="1">
      <alignment horizontal="center" vertical="center"/>
    </xf>
    <xf numFmtId="9" fontId="4" fillId="0" borderId="0" xfId="0" applyNumberFormat="1" applyFont="1" applyAlignment="1">
      <alignment vertical="center"/>
    </xf>
    <xf numFmtId="167" fontId="4"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9" xfId="0" applyFont="1" applyBorder="1" applyAlignment="1">
      <alignment horizontal="center" vertical="center"/>
    </xf>
    <xf numFmtId="0" fontId="0" fillId="0" borderId="9" xfId="0" applyBorder="1" applyAlignment="1">
      <alignment horizontal="center" vertical="center"/>
    </xf>
    <xf numFmtId="0" fontId="0" fillId="4" borderId="9" xfId="0" applyFill="1" applyBorder="1" applyAlignment="1">
      <alignment horizontal="center" vertical="center"/>
    </xf>
    <xf numFmtId="0" fontId="4" fillId="0" borderId="9" xfId="0" applyFont="1" applyBorder="1" applyAlignment="1">
      <alignment horizontal="center" vertical="center" wrapText="1"/>
    </xf>
    <xf numFmtId="0" fontId="0" fillId="0" borderId="0" xfId="0" applyAlignment="1">
      <alignment horizontal="left" vertical="center"/>
    </xf>
    <xf numFmtId="0" fontId="0" fillId="0" borderId="0" xfId="2" applyNumberFormat="1" applyFont="1" applyAlignment="1">
      <alignment horizontal="center" vertical="center"/>
    </xf>
    <xf numFmtId="0" fontId="0" fillId="0" borderId="0" xfId="0" applyAlignment="1">
      <alignment horizontal="center" vertical="center"/>
    </xf>
    <xf numFmtId="0" fontId="9" fillId="0" borderId="0" xfId="0" applyFont="1" applyBorder="1" applyAlignment="1">
      <alignment wrapText="1"/>
    </xf>
    <xf numFmtId="0" fontId="6" fillId="0" borderId="0" xfId="0" applyFont="1" applyBorder="1" applyAlignment="1">
      <alignment horizontal="left" wrapText="1"/>
    </xf>
    <xf numFmtId="0" fontId="6" fillId="0" borderId="0" xfId="0" applyFont="1" applyBorder="1" applyAlignment="1">
      <alignment horizontal="right" wrapText="1"/>
    </xf>
    <xf numFmtId="0" fontId="8" fillId="0" borderId="0" xfId="0" applyFont="1" applyBorder="1" applyAlignment="1">
      <alignment horizontal="right" wrapText="1"/>
    </xf>
    <xf numFmtId="0" fontId="7" fillId="0" borderId="0" xfId="0" applyFont="1" applyBorder="1" applyAlignment="1">
      <alignment horizontal="right" wrapText="1"/>
    </xf>
    <xf numFmtId="0" fontId="0" fillId="0" borderId="0" xfId="0" applyBorder="1" applyAlignment="1">
      <alignment horizontal="center" vertical="center"/>
    </xf>
    <xf numFmtId="0" fontId="10" fillId="6" borderId="11" xfId="0" applyFont="1" applyFill="1" applyBorder="1" applyAlignment="1">
      <alignment horizontal="left" vertical="center"/>
    </xf>
    <xf numFmtId="0" fontId="10" fillId="6" borderId="12" xfId="0" applyFont="1" applyFill="1" applyBorder="1" applyAlignment="1">
      <alignment horizontal="left" vertical="center"/>
    </xf>
    <xf numFmtId="0" fontId="11" fillId="6" borderId="12" xfId="0" applyFont="1" applyFill="1" applyBorder="1" applyAlignment="1">
      <alignment horizontal="left" vertical="center"/>
    </xf>
    <xf numFmtId="0" fontId="10" fillId="6" borderId="13" xfId="0" applyFont="1" applyFill="1" applyBorder="1" applyAlignment="1">
      <alignment horizontal="left" vertical="center"/>
    </xf>
    <xf numFmtId="0" fontId="11" fillId="6" borderId="14" xfId="0" applyFont="1" applyFill="1" applyBorder="1" applyAlignment="1">
      <alignment vertical="center"/>
    </xf>
    <xf numFmtId="0" fontId="10" fillId="6" borderId="15" xfId="0" applyFont="1" applyFill="1" applyBorder="1" applyAlignment="1">
      <alignment horizontal="left" vertical="center"/>
    </xf>
    <xf numFmtId="0" fontId="11" fillId="6" borderId="15" xfId="0" applyFont="1" applyFill="1" applyBorder="1" applyAlignment="1">
      <alignment horizontal="left" vertical="center"/>
    </xf>
    <xf numFmtId="0" fontId="10" fillId="6" borderId="16" xfId="0" applyFont="1" applyFill="1" applyBorder="1" applyAlignment="1">
      <alignment horizontal="left" vertical="center"/>
    </xf>
    <xf numFmtId="0" fontId="12" fillId="7" borderId="17" xfId="0" applyFont="1" applyFill="1" applyBorder="1" applyAlignment="1">
      <alignment vertical="center"/>
    </xf>
    <xf numFmtId="0" fontId="9" fillId="7" borderId="18" xfId="0" applyFont="1" applyFill="1" applyBorder="1" applyAlignment="1">
      <alignment vertical="center"/>
    </xf>
    <xf numFmtId="0" fontId="13" fillId="7" borderId="0" xfId="0" applyFont="1" applyFill="1" applyAlignment="1">
      <alignment vertical="center"/>
    </xf>
    <xf numFmtId="0" fontId="9" fillId="7" borderId="11" xfId="0" applyFont="1" applyFill="1" applyBorder="1" applyAlignment="1">
      <alignment horizontal="centerContinuous" vertical="center"/>
    </xf>
    <xf numFmtId="0" fontId="9" fillId="7" borderId="19" xfId="0" applyFont="1" applyFill="1" applyBorder="1" applyAlignment="1">
      <alignment horizontal="centerContinuous" vertical="center"/>
    </xf>
    <xf numFmtId="0" fontId="9" fillId="7" borderId="12" xfId="0" applyFont="1" applyFill="1" applyBorder="1" applyAlignment="1">
      <alignment horizontal="centerContinuous" vertical="center"/>
    </xf>
    <xf numFmtId="0" fontId="9" fillId="7" borderId="13" xfId="0" applyFont="1" applyFill="1" applyBorder="1" applyAlignment="1">
      <alignment horizontal="center" vertical="center"/>
    </xf>
    <xf numFmtId="0" fontId="9" fillId="7" borderId="20" xfId="0" applyFont="1" applyFill="1" applyBorder="1" applyAlignment="1">
      <alignment horizontal="center" vertical="center"/>
    </xf>
    <xf numFmtId="0" fontId="12" fillId="7" borderId="21" xfId="0" applyFont="1" applyFill="1" applyBorder="1" applyAlignment="1">
      <alignment vertical="center"/>
    </xf>
    <xf numFmtId="0" fontId="9" fillId="7" borderId="21" xfId="0" applyFont="1" applyFill="1" applyBorder="1" applyAlignment="1">
      <alignment vertical="center"/>
    </xf>
    <xf numFmtId="0" fontId="13" fillId="7" borderId="16" xfId="0" applyFont="1" applyFill="1" applyBorder="1" applyAlignment="1">
      <alignment vertical="center"/>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0" borderId="20" xfId="0" applyFont="1" applyFill="1" applyBorder="1" applyAlignment="1">
      <alignment vertical="center"/>
    </xf>
    <xf numFmtId="0" fontId="6" fillId="0" borderId="0" xfId="0" applyFont="1" applyFill="1" applyBorder="1" applyAlignment="1">
      <alignment vertical="center"/>
    </xf>
    <xf numFmtId="0" fontId="13" fillId="0" borderId="0" xfId="0" applyFont="1" applyFill="1" applyAlignment="1">
      <alignment vertical="center"/>
    </xf>
    <xf numFmtId="2" fontId="6" fillId="0" borderId="20" xfId="0" applyNumberFormat="1" applyFont="1" applyFill="1" applyBorder="1" applyAlignment="1">
      <alignment horizontal="center" vertical="center"/>
    </xf>
    <xf numFmtId="0" fontId="13" fillId="0" borderId="17" xfId="0" applyFont="1" applyFill="1" applyBorder="1" applyAlignment="1">
      <alignment vertical="center"/>
    </xf>
    <xf numFmtId="2" fontId="6" fillId="0" borderId="17" xfId="0" applyNumberFormat="1" applyFont="1" applyFill="1" applyBorder="1" applyAlignment="1">
      <alignment horizontal="center" vertical="center"/>
    </xf>
    <xf numFmtId="0" fontId="13" fillId="0" borderId="25" xfId="0" applyFont="1" applyFill="1" applyBorder="1" applyAlignment="1">
      <alignment vertical="center"/>
    </xf>
    <xf numFmtId="0" fontId="6" fillId="0" borderId="26" xfId="0" applyFont="1" applyFill="1" applyBorder="1" applyAlignment="1">
      <alignment vertical="center"/>
    </xf>
    <xf numFmtId="0" fontId="13" fillId="0" borderId="26" xfId="0" applyFont="1" applyFill="1" applyBorder="1" applyAlignment="1">
      <alignment vertical="center"/>
    </xf>
    <xf numFmtId="2" fontId="6" fillId="0" borderId="25" xfId="0" applyNumberFormat="1" applyFont="1" applyFill="1" applyBorder="1" applyAlignment="1">
      <alignment horizontal="center" vertical="center"/>
    </xf>
    <xf numFmtId="0" fontId="9" fillId="0" borderId="17" xfId="0" applyFont="1" applyFill="1" applyBorder="1" applyAlignment="1">
      <alignment vertical="center"/>
    </xf>
    <xf numFmtId="0" fontId="9" fillId="0" borderId="25" xfId="0" applyFont="1" applyFill="1" applyBorder="1" applyAlignment="1">
      <alignment vertical="center"/>
    </xf>
    <xf numFmtId="0" fontId="12" fillId="0" borderId="17" xfId="0" applyFont="1" applyFill="1" applyBorder="1" applyAlignment="1">
      <alignment vertical="center"/>
    </xf>
    <xf numFmtId="0" fontId="6" fillId="0" borderId="27" xfId="0" applyFont="1" applyFill="1" applyBorder="1" applyAlignment="1">
      <alignment vertical="center"/>
    </xf>
    <xf numFmtId="0" fontId="13" fillId="0" borderId="21" xfId="0" applyFont="1" applyFill="1" applyBorder="1" applyAlignment="1">
      <alignment vertical="center"/>
    </xf>
    <xf numFmtId="0" fontId="6" fillId="0" borderId="15" xfId="0" applyFont="1" applyFill="1" applyBorder="1" applyAlignment="1">
      <alignment vertical="center"/>
    </xf>
    <xf numFmtId="0" fontId="13" fillId="0" borderId="15" xfId="0" applyFont="1" applyFill="1" applyBorder="1" applyAlignment="1">
      <alignment vertical="center"/>
    </xf>
    <xf numFmtId="2" fontId="6" fillId="0" borderId="21" xfId="0" applyNumberFormat="1" applyFont="1" applyFill="1" applyBorder="1" applyAlignment="1">
      <alignment horizontal="center" vertical="center"/>
    </xf>
    <xf numFmtId="0" fontId="6" fillId="0" borderId="21" xfId="0" applyFont="1" applyFill="1" applyBorder="1" applyAlignment="1">
      <alignment horizontal="justify" vertical="center" wrapText="1"/>
    </xf>
    <xf numFmtId="0" fontId="0" fillId="0" borderId="0" xfId="0" applyAlignment="1">
      <alignment horizontal="center" vertical="center"/>
    </xf>
    <xf numFmtId="0" fontId="9" fillId="0" borderId="0" xfId="0" applyFont="1" applyFill="1" applyBorder="1" applyAlignment="1">
      <alignment vertical="center" wrapText="1"/>
    </xf>
    <xf numFmtId="0" fontId="0" fillId="0" borderId="29" xfId="0" applyBorder="1"/>
    <xf numFmtId="0" fontId="0" fillId="0" borderId="30" xfId="0" applyBorder="1"/>
    <xf numFmtId="0" fontId="0" fillId="0" borderId="31" xfId="0" applyBorder="1"/>
    <xf numFmtId="0" fontId="0" fillId="0" borderId="32" xfId="0" applyBorder="1"/>
    <xf numFmtId="0" fontId="0" fillId="0" borderId="0" xfId="0" applyBorder="1"/>
    <xf numFmtId="0" fontId="0" fillId="0" borderId="33" xfId="0" applyBorder="1"/>
    <xf numFmtId="0" fontId="0" fillId="0" borderId="34" xfId="0" applyBorder="1"/>
    <xf numFmtId="0" fontId="0" fillId="0" borderId="36" xfId="0" applyBorder="1"/>
    <xf numFmtId="0" fontId="0" fillId="0" borderId="8" xfId="0" applyBorder="1"/>
    <xf numFmtId="0" fontId="0" fillId="0" borderId="32" xfId="0" applyBorder="1" applyAlignment="1">
      <alignment horizontal="center" wrapText="1"/>
    </xf>
    <xf numFmtId="0" fontId="12" fillId="9" borderId="0" xfId="5" applyFont="1" applyFill="1" applyBorder="1" applyAlignment="1" applyProtection="1">
      <alignment vertical="center"/>
      <protection hidden="1"/>
    </xf>
    <xf numFmtId="0" fontId="13" fillId="9" borderId="0" xfId="5" applyFont="1" applyFill="1" applyBorder="1" applyAlignment="1" applyProtection="1">
      <alignment vertical="center"/>
      <protection hidden="1"/>
    </xf>
    <xf numFmtId="0" fontId="13" fillId="9" borderId="0" xfId="5" applyFont="1" applyFill="1" applyBorder="1" applyAlignment="1" applyProtection="1">
      <alignment horizontal="center" vertical="center"/>
      <protection hidden="1"/>
    </xf>
    <xf numFmtId="0" fontId="14" fillId="9" borderId="0" xfId="5" applyFont="1" applyFill="1" applyBorder="1" applyAlignment="1" applyProtection="1">
      <alignment vertical="center"/>
      <protection hidden="1"/>
    </xf>
    <xf numFmtId="0" fontId="14" fillId="9" borderId="0" xfId="6" applyFont="1" applyFill="1" applyBorder="1" applyAlignment="1" applyProtection="1">
      <alignment horizontal="left" vertical="center"/>
      <protection hidden="1"/>
    </xf>
    <xf numFmtId="0" fontId="14" fillId="9" borderId="0" xfId="6" applyFont="1" applyFill="1" applyBorder="1" applyAlignment="1" applyProtection="1">
      <alignment horizontal="center" vertical="center"/>
      <protection hidden="1"/>
    </xf>
    <xf numFmtId="0" fontId="14" fillId="9" borderId="0" xfId="5" applyFont="1" applyFill="1" applyBorder="1" applyAlignment="1" applyProtection="1">
      <alignment horizontal="center" vertical="center"/>
      <protection hidden="1"/>
    </xf>
    <xf numFmtId="0" fontId="14" fillId="0" borderId="0" xfId="5" applyFont="1" applyFill="1" applyBorder="1" applyAlignment="1" applyProtection="1">
      <alignment vertical="center"/>
      <protection hidden="1"/>
    </xf>
    <xf numFmtId="0" fontId="14" fillId="9" borderId="0" xfId="5" applyFont="1" applyFill="1" applyAlignment="1" applyProtection="1">
      <alignment vertical="center"/>
      <protection hidden="1"/>
    </xf>
    <xf numFmtId="0" fontId="14" fillId="9" borderId="47" xfId="5" applyFont="1" applyFill="1" applyBorder="1" applyAlignment="1" applyProtection="1">
      <alignment horizontal="left" vertical="center"/>
      <protection hidden="1"/>
    </xf>
    <xf numFmtId="0" fontId="13" fillId="9" borderId="47" xfId="5" applyFont="1" applyFill="1" applyBorder="1" applyAlignment="1" applyProtection="1">
      <alignment vertical="center"/>
      <protection hidden="1"/>
    </xf>
    <xf numFmtId="0" fontId="16" fillId="9" borderId="47" xfId="5" applyFont="1" applyFill="1" applyBorder="1" applyAlignment="1" applyProtection="1">
      <alignment horizontal="center" vertical="center"/>
      <protection hidden="1"/>
    </xf>
    <xf numFmtId="0" fontId="17" fillId="9" borderId="47" xfId="5" applyFont="1" applyFill="1" applyBorder="1" applyAlignment="1" applyProtection="1">
      <alignment vertical="center"/>
      <protection hidden="1"/>
    </xf>
    <xf numFmtId="0" fontId="16" fillId="9" borderId="47" xfId="6" applyFont="1" applyFill="1" applyBorder="1" applyAlignment="1" applyProtection="1">
      <alignment horizontal="left" vertical="center"/>
      <protection hidden="1"/>
    </xf>
    <xf numFmtId="0" fontId="13" fillId="9" borderId="47" xfId="5" applyFont="1" applyFill="1" applyBorder="1" applyAlignment="1" applyProtection="1">
      <alignment horizontal="center" vertical="center"/>
      <protection hidden="1"/>
    </xf>
    <xf numFmtId="0" fontId="12" fillId="9" borderId="0" xfId="5" applyFont="1" applyFill="1" applyBorder="1" applyAlignment="1" applyProtection="1">
      <alignment horizontal="left" vertical="center"/>
      <protection hidden="1"/>
    </xf>
    <xf numFmtId="0" fontId="13" fillId="9" borderId="0" xfId="5" applyFont="1" applyFill="1" applyAlignment="1" applyProtection="1">
      <alignment vertical="center"/>
      <protection hidden="1"/>
    </xf>
    <xf numFmtId="0" fontId="12" fillId="9" borderId="0" xfId="5" applyFont="1" applyFill="1" applyBorder="1" applyAlignment="1" applyProtection="1">
      <alignment horizontal="center" vertical="center"/>
      <protection hidden="1"/>
    </xf>
    <xf numFmtId="0" fontId="13" fillId="9" borderId="48" xfId="5" applyFont="1" applyFill="1" applyBorder="1" applyAlignment="1" applyProtection="1">
      <alignment vertical="center"/>
      <protection hidden="1"/>
    </xf>
    <xf numFmtId="0" fontId="12" fillId="9" borderId="48" xfId="6" applyFont="1" applyFill="1" applyBorder="1" applyAlignment="1" applyProtection="1">
      <alignment vertical="center"/>
      <protection hidden="1"/>
    </xf>
    <xf numFmtId="0" fontId="13" fillId="9" borderId="15" xfId="5" applyFont="1" applyFill="1" applyBorder="1" applyAlignment="1" applyProtection="1">
      <alignment vertical="center"/>
      <protection hidden="1"/>
    </xf>
    <xf numFmtId="0" fontId="12" fillId="9" borderId="15" xfId="6" applyFont="1" applyFill="1" applyBorder="1" applyAlignment="1" applyProtection="1">
      <alignment horizontal="center" vertical="center"/>
      <protection hidden="1"/>
    </xf>
    <xf numFmtId="0" fontId="13" fillId="9" borderId="48" xfId="5" applyFont="1" applyFill="1" applyBorder="1" applyAlignment="1" applyProtection="1">
      <alignment horizontal="center" vertical="center"/>
      <protection hidden="1"/>
    </xf>
    <xf numFmtId="0" fontId="12" fillId="7" borderId="0" xfId="5" applyFont="1" applyFill="1" applyAlignment="1" applyProtection="1">
      <alignment vertical="center"/>
      <protection hidden="1"/>
    </xf>
    <xf numFmtId="0" fontId="13" fillId="6" borderId="0" xfId="5" applyFont="1" applyFill="1" applyBorder="1" applyAlignment="1" applyProtection="1">
      <alignment vertical="center"/>
      <protection hidden="1"/>
    </xf>
    <xf numFmtId="0" fontId="13" fillId="6" borderId="13" xfId="5" applyFont="1" applyFill="1" applyBorder="1" applyAlignment="1" applyProtection="1">
      <alignment vertical="center"/>
      <protection hidden="1"/>
    </xf>
    <xf numFmtId="0" fontId="13" fillId="0" borderId="0" xfId="5" applyFont="1" applyFill="1" applyBorder="1" applyAlignment="1" applyProtection="1">
      <alignment vertical="center"/>
      <protection hidden="1"/>
    </xf>
    <xf numFmtId="0" fontId="12" fillId="9" borderId="18" xfId="5" applyFont="1" applyFill="1" applyBorder="1" applyAlignment="1" applyProtection="1">
      <alignment vertical="center"/>
      <protection hidden="1"/>
    </xf>
    <xf numFmtId="0" fontId="12" fillId="0" borderId="0" xfId="5" applyFont="1" applyFill="1" applyBorder="1" applyAlignment="1" applyProtection="1">
      <alignment vertical="center"/>
      <protection hidden="1"/>
    </xf>
    <xf numFmtId="0" fontId="13" fillId="0" borderId="0" xfId="5" applyFont="1" applyFill="1" applyAlignment="1" applyProtection="1">
      <alignment vertical="center"/>
      <protection hidden="1"/>
    </xf>
    <xf numFmtId="0" fontId="13" fillId="0" borderId="24" xfId="5" applyFont="1" applyFill="1" applyBorder="1" applyAlignment="1" applyProtection="1">
      <alignment vertical="center"/>
      <protection hidden="1"/>
    </xf>
    <xf numFmtId="0" fontId="13" fillId="9" borderId="0" xfId="5" applyFont="1" applyFill="1" applyAlignment="1" applyProtection="1">
      <alignment horizontal="centerContinuous" vertical="center"/>
      <protection hidden="1"/>
    </xf>
    <xf numFmtId="0" fontId="13" fillId="0" borderId="18" xfId="5" applyFont="1" applyFill="1" applyBorder="1" applyAlignment="1" applyProtection="1">
      <alignment vertical="center"/>
      <protection hidden="1"/>
    </xf>
    <xf numFmtId="0" fontId="15" fillId="0" borderId="0" xfId="6" applyFill="1" applyAlignment="1" applyProtection="1">
      <alignment vertical="center"/>
      <protection hidden="1"/>
    </xf>
    <xf numFmtId="0" fontId="15" fillId="0" borderId="0" xfId="6" applyFill="1" applyBorder="1" applyAlignment="1" applyProtection="1">
      <alignment vertical="center"/>
      <protection hidden="1"/>
    </xf>
    <xf numFmtId="0" fontId="13" fillId="0" borderId="0" xfId="5" applyFont="1" applyFill="1" applyBorder="1" applyAlignment="1">
      <alignment vertical="center"/>
    </xf>
    <xf numFmtId="0" fontId="13" fillId="0" borderId="0" xfId="5" applyFont="1" applyFill="1" applyBorder="1" applyAlignment="1">
      <alignment horizontal="left" vertical="center"/>
    </xf>
    <xf numFmtId="0" fontId="13" fillId="0" borderId="24" xfId="5" applyFont="1" applyFill="1" applyBorder="1" applyAlignment="1">
      <alignment vertical="center"/>
    </xf>
    <xf numFmtId="0" fontId="12" fillId="7" borderId="0" xfId="5" applyFont="1" applyFill="1" applyBorder="1" applyAlignment="1" applyProtection="1">
      <alignment vertical="center"/>
      <protection hidden="1"/>
    </xf>
    <xf numFmtId="0" fontId="13" fillId="7" borderId="0" xfId="5" applyFont="1" applyFill="1" applyBorder="1" applyAlignment="1" applyProtection="1">
      <alignment vertical="center"/>
      <protection hidden="1"/>
    </xf>
    <xf numFmtId="0" fontId="15" fillId="0" borderId="0" xfId="6" applyFill="1" applyBorder="1" applyAlignment="1" applyProtection="1">
      <alignment horizontal="left" vertical="center"/>
    </xf>
    <xf numFmtId="0" fontId="18" fillId="0" borderId="0" xfId="5" applyFont="1" applyFill="1" applyBorder="1" applyAlignment="1" applyProtection="1">
      <alignment vertical="center"/>
      <protection hidden="1"/>
    </xf>
    <xf numFmtId="0" fontId="13" fillId="0" borderId="0" xfId="5" applyFont="1" applyFill="1" applyBorder="1" applyAlignment="1" applyProtection="1">
      <alignment horizontal="left" vertical="center"/>
      <protection hidden="1"/>
    </xf>
    <xf numFmtId="0" fontId="15" fillId="0" borderId="0" xfId="6" applyFill="1" applyBorder="1" applyAlignment="1" applyProtection="1">
      <alignment vertical="center"/>
    </xf>
    <xf numFmtId="0" fontId="15" fillId="0" borderId="0" xfId="6" applyFill="1" applyAlignment="1" applyProtection="1"/>
    <xf numFmtId="0" fontId="15" fillId="0" borderId="0" xfId="6" applyFill="1" applyAlignment="1" applyProtection="1">
      <alignment vertical="center"/>
    </xf>
    <xf numFmtId="0" fontId="13" fillId="0" borderId="0" xfId="5" applyFont="1" applyFill="1" applyAlignment="1">
      <alignment vertical="center"/>
    </xf>
    <xf numFmtId="0" fontId="15" fillId="0" borderId="0" xfId="6" applyFont="1" applyFill="1" applyAlignment="1" applyProtection="1"/>
    <xf numFmtId="0" fontId="18" fillId="0" borderId="0" xfId="6" applyFont="1" applyFill="1" applyBorder="1" applyAlignment="1" applyProtection="1">
      <alignment horizontal="left" vertical="center"/>
      <protection hidden="1"/>
    </xf>
    <xf numFmtId="49" fontId="13" fillId="0" borderId="0" xfId="5" applyNumberFormat="1" applyFont="1" applyFill="1" applyBorder="1" applyAlignment="1" applyProtection="1">
      <alignment horizontal="left" vertical="center"/>
      <protection hidden="1"/>
    </xf>
    <xf numFmtId="0" fontId="13" fillId="0" borderId="0" xfId="5" applyFont="1" applyFill="1" applyBorder="1" applyAlignment="1" applyProtection="1">
      <alignment vertical="center" wrapText="1"/>
      <protection hidden="1"/>
    </xf>
    <xf numFmtId="0" fontId="13" fillId="0" borderId="0" xfId="6" applyFont="1" applyFill="1" applyBorder="1" applyAlignment="1" applyProtection="1">
      <alignment horizontal="left" vertical="center"/>
      <protection hidden="1"/>
    </xf>
    <xf numFmtId="0" fontId="13" fillId="0" borderId="0" xfId="5" applyFont="1" applyBorder="1" applyAlignment="1" applyProtection="1">
      <alignment horizontal="left" vertical="center"/>
    </xf>
    <xf numFmtId="0" fontId="12" fillId="0" borderId="9" xfId="5" applyFont="1" applyFill="1" applyBorder="1" applyAlignment="1" applyProtection="1">
      <alignment horizontal="center" vertical="center"/>
    </xf>
    <xf numFmtId="0" fontId="13" fillId="0" borderId="18" xfId="5" applyFont="1" applyBorder="1" applyAlignment="1">
      <alignment vertical="center"/>
    </xf>
    <xf numFmtId="0" fontId="13" fillId="9" borderId="24" xfId="5" applyFont="1" applyFill="1" applyBorder="1" applyAlignment="1" applyProtection="1">
      <alignment vertical="center"/>
      <protection hidden="1"/>
    </xf>
    <xf numFmtId="0" fontId="13" fillId="9" borderId="0" xfId="5" applyFont="1" applyFill="1" applyBorder="1" applyAlignment="1" applyProtection="1">
      <alignment horizontal="left" vertical="center"/>
      <protection hidden="1"/>
    </xf>
    <xf numFmtId="0" fontId="13" fillId="9" borderId="18" xfId="5" applyFont="1" applyFill="1" applyBorder="1" applyAlignment="1" applyProtection="1">
      <alignment vertical="center"/>
      <protection hidden="1"/>
    </xf>
    <xf numFmtId="0" fontId="13" fillId="7" borderId="0" xfId="5" applyFont="1" applyFill="1" applyAlignment="1" applyProtection="1">
      <alignment vertical="center"/>
      <protection hidden="1"/>
    </xf>
    <xf numFmtId="0" fontId="13" fillId="9" borderId="24" xfId="5" applyFont="1" applyFill="1" applyBorder="1" applyAlignment="1" applyProtection="1">
      <alignment horizontal="centerContinuous" vertical="center"/>
      <protection hidden="1"/>
    </xf>
    <xf numFmtId="0" fontId="13" fillId="0" borderId="14" xfId="5" applyFont="1" applyBorder="1" applyAlignment="1" applyProtection="1">
      <alignment vertical="center"/>
      <protection hidden="1"/>
    </xf>
    <xf numFmtId="0" fontId="12" fillId="9" borderId="15" xfId="5" applyFont="1" applyFill="1" applyBorder="1" applyAlignment="1" applyProtection="1">
      <alignment vertical="center"/>
      <protection hidden="1"/>
    </xf>
    <xf numFmtId="0" fontId="13" fillId="9" borderId="15" xfId="5" applyFont="1" applyFill="1" applyBorder="1" applyAlignment="1" applyProtection="1">
      <alignment horizontal="center" vertical="center"/>
      <protection hidden="1"/>
    </xf>
    <xf numFmtId="0" fontId="13" fillId="9" borderId="16" xfId="5" applyFont="1" applyFill="1" applyBorder="1" applyAlignment="1" applyProtection="1">
      <alignment vertical="center"/>
      <protection hidden="1"/>
    </xf>
    <xf numFmtId="0" fontId="12" fillId="9" borderId="0" xfId="5" applyFont="1" applyFill="1" applyBorder="1" applyAlignment="1" applyProtection="1">
      <alignment horizontal="centerContinuous" vertical="center"/>
      <protection hidden="1"/>
    </xf>
    <xf numFmtId="0" fontId="12" fillId="9" borderId="0" xfId="6" applyFont="1" applyFill="1" applyBorder="1" applyAlignment="1" applyProtection="1">
      <alignment horizontal="center" vertical="center"/>
      <protection hidden="1"/>
    </xf>
    <xf numFmtId="0" fontId="12" fillId="9" borderId="0" xfId="5" applyFont="1" applyFill="1" applyAlignment="1" applyProtection="1">
      <alignment vertical="center"/>
      <protection hidden="1"/>
    </xf>
    <xf numFmtId="0" fontId="10" fillId="6" borderId="19" xfId="5" applyFont="1" applyFill="1" applyBorder="1" applyAlignment="1" applyProtection="1">
      <alignment vertical="center"/>
      <protection hidden="1"/>
    </xf>
    <xf numFmtId="0" fontId="13" fillId="6" borderId="19" xfId="5" applyFont="1" applyFill="1" applyBorder="1" applyAlignment="1" applyProtection="1">
      <alignment vertical="center"/>
      <protection hidden="1"/>
    </xf>
    <xf numFmtId="0" fontId="13" fillId="6" borderId="52" xfId="5" applyFont="1" applyFill="1" applyBorder="1" applyAlignment="1" applyProtection="1">
      <alignment horizontal="center" vertical="center"/>
      <protection hidden="1"/>
    </xf>
    <xf numFmtId="0" fontId="12" fillId="7" borderId="18" xfId="5" applyFont="1" applyFill="1" applyBorder="1" applyAlignment="1" applyProtection="1">
      <alignment horizontal="center" vertical="center"/>
      <protection hidden="1"/>
    </xf>
    <xf numFmtId="0" fontId="12" fillId="7" borderId="0" xfId="5" applyFont="1" applyFill="1" applyBorder="1" applyAlignment="1" applyProtection="1">
      <alignment horizontal="center" vertical="center"/>
      <protection hidden="1"/>
    </xf>
    <xf numFmtId="0" fontId="13" fillId="7" borderId="24" xfId="5" applyFont="1" applyFill="1" applyBorder="1" applyAlignment="1" applyProtection="1">
      <alignment vertical="center"/>
      <protection hidden="1"/>
    </xf>
    <xf numFmtId="0" fontId="12" fillId="7" borderId="20" xfId="5" applyFont="1" applyFill="1" applyBorder="1" applyAlignment="1">
      <alignment horizontal="centerContinuous" vertical="center" wrapText="1"/>
    </xf>
    <xf numFmtId="0" fontId="12" fillId="7" borderId="0" xfId="5" applyFont="1" applyFill="1" applyBorder="1" applyAlignment="1" applyProtection="1">
      <alignment horizontal="centerContinuous" vertical="center"/>
      <protection hidden="1"/>
    </xf>
    <xf numFmtId="0" fontId="12" fillId="7" borderId="24" xfId="5" applyFont="1" applyFill="1" applyBorder="1" applyAlignment="1" applyProtection="1">
      <alignment horizontal="centerContinuous" vertical="center"/>
      <protection hidden="1"/>
    </xf>
    <xf numFmtId="0" fontId="12" fillId="7" borderId="11" xfId="5" applyFont="1" applyFill="1" applyBorder="1" applyAlignment="1" applyProtection="1">
      <alignment horizontal="centerContinuous" vertical="center"/>
      <protection hidden="1"/>
    </xf>
    <xf numFmtId="0" fontId="12" fillId="7" borderId="12" xfId="5" applyFont="1" applyFill="1" applyBorder="1" applyAlignment="1" applyProtection="1">
      <alignment horizontal="centerContinuous" vertical="center"/>
      <protection hidden="1"/>
    </xf>
    <xf numFmtId="0" fontId="12" fillId="7" borderId="13" xfId="5" applyFont="1" applyFill="1" applyBorder="1" applyAlignment="1" applyProtection="1">
      <alignment horizontal="centerContinuous" vertical="center"/>
      <protection hidden="1"/>
    </xf>
    <xf numFmtId="0" fontId="12" fillId="7" borderId="18" xfId="5" applyFont="1" applyFill="1" applyBorder="1" applyAlignment="1" applyProtection="1">
      <alignment horizontal="centerContinuous" vertical="center"/>
      <protection hidden="1"/>
    </xf>
    <xf numFmtId="0" fontId="12" fillId="7" borderId="17" xfId="5" applyFont="1" applyFill="1" applyBorder="1" applyAlignment="1" applyProtection="1">
      <alignment horizontal="centerContinuous" vertical="center"/>
      <protection hidden="1"/>
    </xf>
    <xf numFmtId="0" fontId="13" fillId="7" borderId="0" xfId="5" applyFont="1" applyFill="1" applyBorder="1" applyAlignment="1" applyProtection="1">
      <alignment horizontal="centerContinuous" vertical="center"/>
      <protection hidden="1"/>
    </xf>
    <xf numFmtId="0" fontId="13" fillId="7" borderId="24" xfId="5" applyFont="1" applyFill="1" applyBorder="1" applyAlignment="1" applyProtection="1">
      <alignment horizontal="centerContinuous" vertical="center"/>
      <protection hidden="1"/>
    </xf>
    <xf numFmtId="0" fontId="13" fillId="7" borderId="18" xfId="5" applyFont="1" applyFill="1" applyBorder="1" applyAlignment="1" applyProtection="1">
      <alignment vertical="center"/>
      <protection hidden="1"/>
    </xf>
    <xf numFmtId="0" fontId="12" fillId="7" borderId="17" xfId="5" applyFont="1" applyFill="1" applyBorder="1" applyAlignment="1">
      <alignment horizontal="center" vertical="center"/>
    </xf>
    <xf numFmtId="49" fontId="20" fillId="7" borderId="0" xfId="5" applyNumberFormat="1" applyFont="1" applyFill="1" applyBorder="1" applyAlignment="1" applyProtection="1">
      <alignment horizontal="center" vertical="center" wrapText="1"/>
      <protection hidden="1"/>
    </xf>
    <xf numFmtId="0" fontId="9" fillId="7" borderId="0" xfId="5" applyFont="1" applyFill="1" applyBorder="1" applyAlignment="1" applyProtection="1">
      <alignment horizontal="center" vertical="center" wrapText="1"/>
      <protection hidden="1"/>
    </xf>
    <xf numFmtId="0" fontId="12" fillId="7" borderId="0" xfId="5" applyFont="1" applyFill="1" applyBorder="1" applyAlignment="1" applyProtection="1">
      <alignment horizontal="center" vertical="center" wrapText="1"/>
      <protection hidden="1"/>
    </xf>
    <xf numFmtId="0" fontId="12" fillId="7" borderId="24" xfId="5" applyFont="1" applyFill="1" applyBorder="1" applyAlignment="1" applyProtection="1">
      <alignment horizontal="center" vertical="center" wrapText="1"/>
      <protection hidden="1"/>
    </xf>
    <xf numFmtId="0" fontId="12" fillId="0" borderId="0" xfId="5" applyFont="1" applyFill="1" applyBorder="1" applyAlignment="1" applyProtection="1">
      <alignment horizontal="center" vertical="center"/>
      <protection hidden="1"/>
    </xf>
    <xf numFmtId="0" fontId="12" fillId="7" borderId="17" xfId="5" applyFont="1" applyFill="1" applyBorder="1" applyAlignment="1">
      <alignment horizontal="centerContinuous" vertical="center" wrapText="1"/>
    </xf>
    <xf numFmtId="0" fontId="12" fillId="0" borderId="0" xfId="6" applyFont="1" applyFill="1" applyBorder="1" applyAlignment="1" applyProtection="1">
      <alignment horizontal="center" vertical="center"/>
      <protection hidden="1"/>
    </xf>
    <xf numFmtId="0" fontId="12" fillId="7" borderId="17" xfId="5" applyFont="1" applyFill="1" applyBorder="1" applyAlignment="1" applyProtection="1">
      <alignment horizontal="center" vertical="center"/>
      <protection hidden="1"/>
    </xf>
    <xf numFmtId="0" fontId="21" fillId="7" borderId="0" xfId="5" applyFont="1" applyFill="1" applyBorder="1" applyAlignment="1" applyProtection="1">
      <alignment horizontal="center" vertical="center"/>
      <protection hidden="1"/>
    </xf>
    <xf numFmtId="0" fontId="12" fillId="7" borderId="24" xfId="5" applyFont="1" applyFill="1" applyBorder="1" applyAlignment="1" applyProtection="1">
      <alignment horizontal="center" vertical="center"/>
      <protection hidden="1"/>
    </xf>
    <xf numFmtId="0" fontId="22" fillId="7" borderId="0" xfId="5" applyFont="1" applyFill="1" applyBorder="1" applyAlignment="1" applyProtection="1">
      <alignment horizontal="center" vertical="center"/>
      <protection hidden="1"/>
    </xf>
    <xf numFmtId="0" fontId="21" fillId="0" borderId="0" xfId="6" applyFont="1" applyFill="1" applyBorder="1" applyAlignment="1" applyProtection="1">
      <alignment horizontal="center" vertical="center"/>
      <protection hidden="1"/>
    </xf>
    <xf numFmtId="0" fontId="13" fillId="9" borderId="18" xfId="5" applyFont="1" applyFill="1" applyBorder="1" applyAlignment="1" applyProtection="1">
      <alignment horizontal="center" vertical="center"/>
      <protection hidden="1"/>
    </xf>
    <xf numFmtId="2" fontId="13" fillId="9" borderId="17" xfId="5" applyNumberFormat="1" applyFont="1" applyFill="1" applyBorder="1" applyAlignment="1" applyProtection="1">
      <alignment horizontal="center" vertical="center"/>
      <protection hidden="1"/>
    </xf>
    <xf numFmtId="3" fontId="13" fillId="9" borderId="0" xfId="5" applyNumberFormat="1" applyFont="1" applyFill="1" applyBorder="1" applyAlignment="1" applyProtection="1">
      <alignment horizontal="center" vertical="center" wrapText="1"/>
      <protection hidden="1"/>
    </xf>
    <xf numFmtId="4" fontId="13" fillId="9" borderId="0" xfId="5" applyNumberFormat="1" applyFont="1" applyFill="1" applyBorder="1" applyAlignment="1" applyProtection="1">
      <alignment horizontal="center" vertical="center" wrapText="1"/>
      <protection hidden="1"/>
    </xf>
    <xf numFmtId="4" fontId="13" fillId="9" borderId="24" xfId="5" applyNumberFormat="1" applyFont="1" applyFill="1" applyBorder="1" applyAlignment="1" applyProtection="1">
      <alignment horizontal="center" vertical="center" wrapText="1"/>
      <protection hidden="1"/>
    </xf>
    <xf numFmtId="2" fontId="13" fillId="9" borderId="0" xfId="5" applyNumberFormat="1" applyFont="1" applyFill="1" applyBorder="1" applyAlignment="1" applyProtection="1">
      <alignment vertical="center"/>
      <protection hidden="1"/>
    </xf>
    <xf numFmtId="2" fontId="13" fillId="9" borderId="24" xfId="5" applyNumberFormat="1" applyFont="1" applyFill="1" applyBorder="1" applyAlignment="1" applyProtection="1">
      <alignment horizontal="center" vertical="center"/>
      <protection hidden="1"/>
    </xf>
    <xf numFmtId="167" fontId="13" fillId="9" borderId="0" xfId="7" applyNumberFormat="1" applyFont="1" applyFill="1" applyBorder="1" applyAlignment="1" applyProtection="1">
      <alignment vertical="center"/>
      <protection hidden="1"/>
    </xf>
    <xf numFmtId="0" fontId="13" fillId="9" borderId="14" xfId="5" applyFont="1" applyFill="1" applyBorder="1" applyAlignment="1" applyProtection="1">
      <alignment horizontal="center" vertical="center"/>
      <protection hidden="1"/>
    </xf>
    <xf numFmtId="164" fontId="13" fillId="9" borderId="21" xfId="5" applyNumberFormat="1" applyFont="1" applyFill="1" applyBorder="1" applyAlignment="1" applyProtection="1">
      <alignment horizontal="center" vertical="center"/>
      <protection hidden="1"/>
    </xf>
    <xf numFmtId="3" fontId="13" fillId="9" borderId="15" xfId="5" applyNumberFormat="1" applyFont="1" applyFill="1" applyBorder="1" applyAlignment="1" applyProtection="1">
      <alignment horizontal="center" vertical="center" wrapText="1"/>
      <protection hidden="1"/>
    </xf>
    <xf numFmtId="4" fontId="13" fillId="9" borderId="16" xfId="5" applyNumberFormat="1" applyFont="1" applyFill="1" applyBorder="1" applyAlignment="1" applyProtection="1">
      <alignment horizontal="center" vertical="center" wrapText="1"/>
      <protection hidden="1"/>
    </xf>
    <xf numFmtId="0" fontId="13" fillId="9" borderId="16" xfId="5" applyFont="1" applyFill="1" applyBorder="1" applyAlignment="1" applyProtection="1">
      <alignment horizontal="center" vertical="center"/>
      <protection hidden="1"/>
    </xf>
    <xf numFmtId="164" fontId="13" fillId="9" borderId="0" xfId="5" applyNumberFormat="1" applyFont="1" applyFill="1" applyBorder="1" applyAlignment="1" applyProtection="1">
      <alignment horizontal="center" vertical="center"/>
      <protection hidden="1"/>
    </xf>
    <xf numFmtId="0" fontId="12" fillId="3" borderId="28" xfId="6" applyFont="1" applyFill="1" applyBorder="1" applyAlignment="1" applyProtection="1">
      <alignment horizontal="center" vertical="center"/>
      <protection hidden="1"/>
    </xf>
    <xf numFmtId="4" fontId="0" fillId="0" borderId="0" xfId="0" applyNumberFormat="1"/>
    <xf numFmtId="0" fontId="13" fillId="7" borderId="0" xfId="0" applyFont="1" applyFill="1" applyBorder="1" applyAlignment="1">
      <alignment horizontal="centerContinuous" vertical="center"/>
    </xf>
    <xf numFmtId="0" fontId="13" fillId="7" borderId="13" xfId="0" applyFont="1" applyFill="1" applyBorder="1" applyAlignment="1">
      <alignment vertical="center"/>
    </xf>
    <xf numFmtId="0" fontId="12" fillId="7" borderId="19" xfId="0" applyFont="1" applyFill="1" applyBorder="1" applyAlignment="1">
      <alignment horizontal="centerContinuous" vertical="center"/>
    </xf>
    <xf numFmtId="0" fontId="12" fillId="7" borderId="52" xfId="0" applyFont="1" applyFill="1" applyBorder="1" applyAlignment="1">
      <alignment horizontal="centerContinuous" vertical="center"/>
    </xf>
    <xf numFmtId="0" fontId="12" fillId="7" borderId="53" xfId="0" applyFont="1" applyFill="1" applyBorder="1" applyAlignment="1">
      <alignment horizontal="center" vertical="center" wrapText="1"/>
    </xf>
    <xf numFmtId="0" fontId="13" fillId="7" borderId="0" xfId="0" applyFont="1" applyFill="1" applyBorder="1" applyAlignment="1">
      <alignment vertical="center"/>
    </xf>
    <xf numFmtId="0" fontId="13" fillId="7" borderId="24" xfId="0" applyFont="1" applyFill="1" applyBorder="1" applyAlignment="1">
      <alignment vertical="center"/>
    </xf>
    <xf numFmtId="0" fontId="9" fillId="7" borderId="54" xfId="0" applyFont="1" applyFill="1" applyBorder="1" applyAlignment="1">
      <alignment horizontal="center" vertical="center" wrapText="1"/>
    </xf>
    <xf numFmtId="0" fontId="9" fillId="7" borderId="55" xfId="0" applyFont="1" applyFill="1" applyBorder="1" applyAlignment="1">
      <alignment horizontal="center" vertical="center" wrapText="1"/>
    </xf>
    <xf numFmtId="0" fontId="9" fillId="7" borderId="56" xfId="0" applyFont="1" applyFill="1" applyBorder="1" applyAlignment="1">
      <alignment horizontal="center" vertical="center" wrapText="1"/>
    </xf>
    <xf numFmtId="0" fontId="12" fillId="7" borderId="57" xfId="0" applyFont="1" applyFill="1" applyBorder="1" applyAlignment="1">
      <alignment horizontal="center" vertical="center" wrapText="1"/>
    </xf>
    <xf numFmtId="0" fontId="6" fillId="7" borderId="15" xfId="0" applyFont="1" applyFill="1" applyBorder="1" applyAlignment="1">
      <alignment horizontal="justify" vertical="center" wrapText="1"/>
    </xf>
    <xf numFmtId="0" fontId="12" fillId="7" borderId="0" xfId="0" applyFont="1" applyFill="1" applyBorder="1" applyAlignment="1">
      <alignment horizontal="centerContinuous" vertical="center"/>
    </xf>
    <xf numFmtId="0" fontId="6" fillId="0" borderId="0" xfId="0" applyFont="1" applyFill="1" applyBorder="1" applyAlignment="1">
      <alignment horizontal="justify" vertical="center" wrapText="1"/>
    </xf>
    <xf numFmtId="0" fontId="13" fillId="0" borderId="13" xfId="0" applyFont="1" applyFill="1" applyBorder="1" applyAlignment="1">
      <alignment vertical="center"/>
    </xf>
    <xf numFmtId="168" fontId="6" fillId="0" borderId="12" xfId="0" applyNumberFormat="1" applyFont="1" applyFill="1" applyBorder="1" applyAlignment="1">
      <alignment horizontal="right" vertical="center" wrapText="1"/>
    </xf>
    <xf numFmtId="168" fontId="6" fillId="0" borderId="58" xfId="0" applyNumberFormat="1" applyFont="1" applyFill="1" applyBorder="1" applyAlignment="1">
      <alignment horizontal="right" vertical="center" wrapText="1"/>
    </xf>
    <xf numFmtId="168" fontId="6" fillId="0" borderId="13" xfId="0" applyNumberFormat="1" applyFont="1" applyFill="1" applyBorder="1" applyAlignment="1">
      <alignment horizontal="right" vertical="center" wrapText="1"/>
    </xf>
    <xf numFmtId="168" fontId="6" fillId="0" borderId="22" xfId="0" applyNumberFormat="1" applyFont="1" applyFill="1" applyBorder="1" applyAlignment="1">
      <alignment horizontal="right" vertical="center" wrapText="1"/>
    </xf>
    <xf numFmtId="0" fontId="13" fillId="0" borderId="24" xfId="0" applyFont="1" applyFill="1" applyBorder="1" applyAlignment="1">
      <alignment vertical="center"/>
    </xf>
    <xf numFmtId="168" fontId="6" fillId="0" borderId="0" xfId="0" applyNumberFormat="1" applyFont="1" applyFill="1" applyBorder="1" applyAlignment="1">
      <alignment horizontal="right" vertical="center" wrapText="1"/>
    </xf>
    <xf numFmtId="168" fontId="6" fillId="0" borderId="53" xfId="0" applyNumberFormat="1" applyFont="1" applyFill="1" applyBorder="1" applyAlignment="1">
      <alignment horizontal="right" vertical="center" wrapText="1"/>
    </xf>
    <xf numFmtId="168" fontId="6" fillId="0" borderId="24" xfId="0" applyNumberFormat="1" applyFont="1" applyFill="1" applyBorder="1" applyAlignment="1">
      <alignment horizontal="right" vertical="center" wrapText="1"/>
    </xf>
    <xf numFmtId="168" fontId="6" fillId="0" borderId="59" xfId="0" applyNumberFormat="1" applyFont="1" applyFill="1" applyBorder="1" applyAlignment="1">
      <alignment horizontal="right" vertical="center" wrapText="1"/>
    </xf>
    <xf numFmtId="0" fontId="6" fillId="0" borderId="26" xfId="0" applyFont="1" applyFill="1" applyBorder="1" applyAlignment="1">
      <alignment horizontal="justify" vertical="center" wrapText="1"/>
    </xf>
    <xf numFmtId="0" fontId="13" fillId="0" borderId="60" xfId="0" applyFont="1" applyFill="1" applyBorder="1" applyAlignment="1">
      <alignment vertical="center"/>
    </xf>
    <xf numFmtId="168" fontId="6" fillId="0" borderId="26" xfId="0" applyNumberFormat="1" applyFont="1" applyFill="1" applyBorder="1" applyAlignment="1">
      <alignment horizontal="right" vertical="center" wrapText="1"/>
    </xf>
    <xf numFmtId="168" fontId="6" fillId="0" borderId="61" xfId="0" applyNumberFormat="1" applyFont="1" applyFill="1" applyBorder="1" applyAlignment="1">
      <alignment horizontal="right" vertical="center" wrapText="1"/>
    </xf>
    <xf numFmtId="168" fontId="6" fillId="0" borderId="60" xfId="0" applyNumberFormat="1" applyFont="1" applyFill="1" applyBorder="1" applyAlignment="1">
      <alignment horizontal="right" vertical="center" wrapText="1"/>
    </xf>
    <xf numFmtId="168" fontId="6" fillId="0" borderId="62" xfId="0" applyNumberFormat="1" applyFont="1" applyFill="1" applyBorder="1" applyAlignment="1">
      <alignment horizontal="right" vertical="center" wrapText="1"/>
    </xf>
    <xf numFmtId="0" fontId="13" fillId="0" borderId="16" xfId="0" applyFont="1" applyFill="1" applyBorder="1" applyAlignment="1">
      <alignment vertical="center"/>
    </xf>
    <xf numFmtId="168" fontId="6" fillId="0" borderId="15" xfId="0" applyNumberFormat="1" applyFont="1" applyFill="1" applyBorder="1" applyAlignment="1">
      <alignment horizontal="right" vertical="center" wrapText="1"/>
    </xf>
    <xf numFmtId="168" fontId="6" fillId="0" borderId="57" xfId="0" applyNumberFormat="1" applyFont="1" applyFill="1" applyBorder="1" applyAlignment="1">
      <alignment horizontal="right" vertical="center" wrapText="1"/>
    </xf>
    <xf numFmtId="168" fontId="6" fillId="0" borderId="16" xfId="0" applyNumberFormat="1" applyFont="1" applyFill="1" applyBorder="1" applyAlignment="1">
      <alignment horizontal="right" vertical="center" wrapText="1"/>
    </xf>
    <xf numFmtId="168" fontId="6" fillId="0" borderId="63" xfId="0" applyNumberFormat="1" applyFont="1" applyFill="1" applyBorder="1" applyAlignment="1">
      <alignment horizontal="right" vertical="center" wrapText="1"/>
    </xf>
    <xf numFmtId="0" fontId="6" fillId="7" borderId="19" xfId="0" applyFont="1" applyFill="1" applyBorder="1" applyAlignment="1">
      <alignment horizontal="justify" vertical="center" wrapText="1"/>
    </xf>
    <xf numFmtId="0" fontId="13" fillId="7" borderId="52" xfId="0" applyFont="1" applyFill="1" applyBorder="1" applyAlignment="1">
      <alignment vertical="center"/>
    </xf>
    <xf numFmtId="168" fontId="12" fillId="7" borderId="0" xfId="0" applyNumberFormat="1" applyFont="1" applyFill="1" applyBorder="1" applyAlignment="1">
      <alignment horizontal="centerContinuous" vertical="center"/>
    </xf>
    <xf numFmtId="168" fontId="6" fillId="0" borderId="64" xfId="0" applyNumberFormat="1" applyFont="1" applyFill="1" applyBorder="1" applyAlignment="1">
      <alignment horizontal="right" vertical="center" wrapText="1"/>
    </xf>
    <xf numFmtId="168" fontId="6" fillId="0" borderId="65" xfId="0" applyNumberFormat="1" applyFont="1" applyFill="1" applyBorder="1" applyAlignment="1">
      <alignment horizontal="right" vertical="center" wrapText="1"/>
    </xf>
    <xf numFmtId="168" fontId="6" fillId="0" borderId="66" xfId="0" applyNumberFormat="1" applyFont="1" applyFill="1" applyBorder="1" applyAlignment="1">
      <alignment horizontal="right" vertical="center" wrapText="1"/>
    </xf>
    <xf numFmtId="168" fontId="9" fillId="10" borderId="0" xfId="0" applyNumberFormat="1" applyFont="1" applyFill="1" applyBorder="1" applyAlignment="1">
      <alignment horizontal="right" vertical="center" wrapText="1"/>
    </xf>
    <xf numFmtId="168" fontId="9" fillId="10" borderId="53" xfId="0" applyNumberFormat="1" applyFont="1" applyFill="1" applyBorder="1" applyAlignment="1">
      <alignment horizontal="right" vertical="center" wrapText="1"/>
    </xf>
    <xf numFmtId="168" fontId="6" fillId="11" borderId="65" xfId="0" applyNumberFormat="1" applyFont="1" applyFill="1" applyBorder="1" applyAlignment="1">
      <alignment horizontal="right" vertical="center" wrapText="1"/>
    </xf>
    <xf numFmtId="0" fontId="10" fillId="6" borderId="41" xfId="0" applyFont="1" applyFill="1" applyBorder="1" applyAlignment="1">
      <alignment vertical="center"/>
    </xf>
    <xf numFmtId="0" fontId="11" fillId="6" borderId="67" xfId="0" applyFont="1" applyFill="1" applyBorder="1" applyAlignment="1">
      <alignment vertical="center"/>
    </xf>
    <xf numFmtId="0" fontId="10" fillId="6" borderId="67" xfId="0" applyFont="1" applyFill="1" applyBorder="1" applyAlignment="1">
      <alignment horizontal="centerContinuous" vertical="center"/>
    </xf>
    <xf numFmtId="0" fontId="10" fillId="6" borderId="68" xfId="0" applyFont="1" applyFill="1" applyBorder="1" applyAlignment="1">
      <alignment horizontal="centerContinuous" vertical="center"/>
    </xf>
    <xf numFmtId="0" fontId="12" fillId="7" borderId="69" xfId="0" applyFont="1" applyFill="1" applyBorder="1" applyAlignment="1">
      <alignment horizontal="centerContinuous" vertical="center" wrapText="1"/>
    </xf>
    <xf numFmtId="0" fontId="12" fillId="7" borderId="70" xfId="0" applyFont="1" applyFill="1" applyBorder="1" applyAlignment="1">
      <alignment horizontal="center" vertical="center" wrapText="1"/>
    </xf>
    <xf numFmtId="0" fontId="9" fillId="7" borderId="32" xfId="0" applyFont="1" applyFill="1" applyBorder="1" applyAlignment="1">
      <alignment vertical="center"/>
    </xf>
    <xf numFmtId="0" fontId="12" fillId="7" borderId="71" xfId="0" applyFont="1" applyFill="1" applyBorder="1" applyAlignment="1">
      <alignment horizontal="center" vertical="center" wrapText="1"/>
    </xf>
    <xf numFmtId="0" fontId="12" fillId="7" borderId="42" xfId="0" applyFont="1" applyFill="1" applyBorder="1" applyAlignment="1">
      <alignment vertical="center"/>
    </xf>
    <xf numFmtId="0" fontId="12" fillId="7" borderId="33" xfId="0" applyFont="1" applyFill="1" applyBorder="1" applyAlignment="1">
      <alignment horizontal="centerContinuous" vertical="center"/>
    </xf>
    <xf numFmtId="0" fontId="9" fillId="0" borderId="32" xfId="0" applyFont="1" applyFill="1" applyBorder="1" applyAlignment="1">
      <alignment horizontal="justify" vertical="center" wrapText="1"/>
    </xf>
    <xf numFmtId="168" fontId="6" fillId="0" borderId="70" xfId="0" applyNumberFormat="1" applyFont="1" applyFill="1" applyBorder="1" applyAlignment="1">
      <alignment horizontal="right" vertical="center" wrapText="1"/>
    </xf>
    <xf numFmtId="0" fontId="13" fillId="0" borderId="32" xfId="0" applyFont="1" applyFill="1" applyBorder="1" applyAlignment="1">
      <alignment vertical="center"/>
    </xf>
    <xf numFmtId="168" fontId="6" fillId="0" borderId="33" xfId="0" applyNumberFormat="1" applyFont="1" applyFill="1" applyBorder="1" applyAlignment="1">
      <alignment horizontal="right" vertical="center" wrapText="1"/>
    </xf>
    <xf numFmtId="0" fontId="13" fillId="0" borderId="72" xfId="0" applyFont="1" applyFill="1" applyBorder="1" applyAlignment="1">
      <alignment vertical="center"/>
    </xf>
    <xf numFmtId="168" fontId="6" fillId="0" borderId="73" xfId="0" applyNumberFormat="1" applyFont="1" applyFill="1" applyBorder="1" applyAlignment="1">
      <alignment horizontal="right" vertical="center" wrapText="1"/>
    </xf>
    <xf numFmtId="168" fontId="6" fillId="0" borderId="43" xfId="0" applyNumberFormat="1" applyFont="1" applyFill="1" applyBorder="1" applyAlignment="1">
      <alignment horizontal="right" vertical="center" wrapText="1"/>
    </xf>
    <xf numFmtId="0" fontId="13" fillId="7" borderId="74" xfId="0" applyFont="1" applyFill="1" applyBorder="1" applyAlignment="1">
      <alignment vertical="center"/>
    </xf>
    <xf numFmtId="168" fontId="12" fillId="7" borderId="43" xfId="0" applyNumberFormat="1" applyFont="1" applyFill="1" applyBorder="1" applyAlignment="1">
      <alignment horizontal="centerContinuous" vertical="center"/>
    </xf>
    <xf numFmtId="168" fontId="6" fillId="0" borderId="75" xfId="0" applyNumberFormat="1" applyFont="1" applyFill="1" applyBorder="1" applyAlignment="1">
      <alignment horizontal="right" vertical="center" wrapText="1"/>
    </xf>
    <xf numFmtId="168" fontId="6" fillId="0" borderId="76" xfId="0" applyNumberFormat="1" applyFont="1" applyFill="1" applyBorder="1" applyAlignment="1">
      <alignment horizontal="right" vertical="center" wrapText="1"/>
    </xf>
    <xf numFmtId="168" fontId="6" fillId="0" borderId="77" xfId="0" applyNumberFormat="1" applyFont="1" applyFill="1" applyBorder="1" applyAlignment="1">
      <alignment horizontal="right" vertical="center" wrapText="1"/>
    </xf>
    <xf numFmtId="168" fontId="6" fillId="11" borderId="76" xfId="0" applyNumberFormat="1" applyFont="1" applyFill="1" applyBorder="1" applyAlignment="1">
      <alignment horizontal="right" vertical="center" wrapText="1"/>
    </xf>
    <xf numFmtId="0" fontId="13" fillId="0" borderId="34" xfId="0" applyFont="1" applyFill="1" applyBorder="1" applyAlignment="1">
      <alignment vertical="center"/>
    </xf>
    <xf numFmtId="0" fontId="6" fillId="0" borderId="36" xfId="0" applyFont="1" applyFill="1" applyBorder="1" applyAlignment="1">
      <alignment horizontal="justify" vertical="center"/>
    </xf>
    <xf numFmtId="0" fontId="13" fillId="0" borderId="78" xfId="0" applyFont="1" applyFill="1" applyBorder="1" applyAlignment="1">
      <alignment vertical="center"/>
    </xf>
    <xf numFmtId="168" fontId="9" fillId="10" borderId="36" xfId="0" applyNumberFormat="1" applyFont="1" applyFill="1" applyBorder="1" applyAlignment="1">
      <alignment horizontal="right" vertical="center" wrapText="1"/>
    </xf>
    <xf numFmtId="168" fontId="9" fillId="10" borderId="79" xfId="0" applyNumberFormat="1" applyFont="1" applyFill="1" applyBorder="1" applyAlignment="1">
      <alignment horizontal="right" vertical="center" wrapText="1"/>
    </xf>
    <xf numFmtId="168" fontId="6" fillId="11" borderId="80" xfId="0" applyNumberFormat="1" applyFont="1" applyFill="1" applyBorder="1" applyAlignment="1">
      <alignment horizontal="right" vertical="center" wrapText="1"/>
    </xf>
    <xf numFmtId="168" fontId="6" fillId="11" borderId="81" xfId="0" applyNumberFormat="1" applyFont="1" applyFill="1" applyBorder="1" applyAlignment="1">
      <alignment horizontal="right" vertical="center" wrapText="1"/>
    </xf>
    <xf numFmtId="0" fontId="0" fillId="0" borderId="29" xfId="0" applyBorder="1" applyAlignment="1">
      <alignment horizontal="center" vertical="center" wrapText="1"/>
    </xf>
    <xf numFmtId="0" fontId="0" fillId="5" borderId="7" xfId="0" applyFill="1" applyBorder="1" applyAlignment="1">
      <alignment horizontal="center" vertical="center"/>
    </xf>
    <xf numFmtId="165" fontId="0" fillId="0" borderId="31" xfId="2" applyNumberFormat="1" applyFont="1" applyBorder="1" applyAlignment="1">
      <alignment horizontal="center" vertical="center"/>
    </xf>
    <xf numFmtId="165" fontId="0" fillId="0" borderId="33" xfId="2" applyNumberFormat="1" applyFont="1" applyBorder="1" applyAlignment="1">
      <alignment horizontal="center" vertical="center"/>
    </xf>
    <xf numFmtId="165" fontId="0" fillId="0" borderId="83" xfId="2" applyNumberFormat="1" applyFont="1" applyBorder="1" applyAlignment="1">
      <alignment horizontal="center" vertical="center"/>
    </xf>
    <xf numFmtId="165" fontId="0" fillId="0" borderId="84" xfId="2" applyNumberFormat="1" applyFont="1" applyBorder="1" applyAlignment="1">
      <alignment horizontal="center" vertical="center"/>
    </xf>
    <xf numFmtId="0" fontId="0" fillId="0" borderId="30" xfId="0" applyNumberFormat="1" applyBorder="1"/>
    <xf numFmtId="0" fontId="0" fillId="0" borderId="31" xfId="0" applyNumberFormat="1" applyBorder="1"/>
    <xf numFmtId="0" fontId="0" fillId="0" borderId="37" xfId="0" applyBorder="1"/>
    <xf numFmtId="44" fontId="0" fillId="0" borderId="0" xfId="2" applyFont="1" applyAlignment="1">
      <alignment horizontal="left" vertical="center"/>
    </xf>
    <xf numFmtId="0" fontId="0" fillId="0" borderId="0" xfId="0" applyAlignment="1">
      <alignment horizontal="right" vertical="center"/>
    </xf>
    <xf numFmtId="0" fontId="5" fillId="0" borderId="89" xfId="0" applyFont="1" applyBorder="1" applyAlignment="1">
      <alignment horizontal="center" vertical="center"/>
    </xf>
    <xf numFmtId="0" fontId="0" fillId="0" borderId="0" xfId="0" applyFont="1" applyAlignment="1">
      <alignment horizontal="left" vertical="center"/>
    </xf>
    <xf numFmtId="0" fontId="4" fillId="0" borderId="5"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28"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79" xfId="0" applyFont="1" applyBorder="1" applyAlignment="1">
      <alignment horizontal="center" vertical="center"/>
    </xf>
    <xf numFmtId="0" fontId="4" fillId="0" borderId="95" xfId="0" applyFont="1" applyBorder="1" applyAlignment="1">
      <alignment horizontal="center" vertical="center"/>
    </xf>
    <xf numFmtId="0" fontId="4" fillId="0" borderId="81" xfId="0" applyFont="1" applyBorder="1" applyAlignment="1">
      <alignment horizontal="center" vertical="center"/>
    </xf>
    <xf numFmtId="165" fontId="0" fillId="0" borderId="45" xfId="0" applyNumberFormat="1" applyBorder="1" applyAlignment="1">
      <alignment horizontal="center" vertical="center"/>
    </xf>
    <xf numFmtId="165" fontId="4" fillId="0" borderId="46" xfId="0" applyNumberFormat="1" applyFont="1" applyBorder="1" applyAlignment="1">
      <alignment horizontal="center" vertical="center"/>
    </xf>
    <xf numFmtId="165" fontId="0" fillId="0" borderId="91" xfId="0" applyNumberFormat="1" applyBorder="1" applyAlignment="1">
      <alignment horizontal="center" vertical="center"/>
    </xf>
    <xf numFmtId="0" fontId="4" fillId="0" borderId="94" xfId="0" applyFont="1" applyBorder="1" applyAlignment="1">
      <alignment horizontal="right" vertical="center"/>
    </xf>
    <xf numFmtId="0" fontId="4" fillId="0" borderId="92" xfId="0" applyFont="1" applyBorder="1" applyAlignment="1">
      <alignment horizontal="right" vertical="center"/>
    </xf>
    <xf numFmtId="165" fontId="0" fillId="0" borderId="61" xfId="0" applyNumberFormat="1" applyBorder="1" applyAlignment="1">
      <alignment horizontal="center" vertical="center"/>
    </xf>
    <xf numFmtId="165" fontId="4" fillId="0" borderId="77" xfId="0" applyNumberFormat="1" applyFont="1" applyBorder="1" applyAlignment="1">
      <alignment horizontal="center" vertical="center"/>
    </xf>
    <xf numFmtId="0" fontId="0" fillId="0" borderId="28" xfId="0" applyBorder="1" applyAlignment="1">
      <alignment horizontal="center" vertical="center"/>
    </xf>
    <xf numFmtId="165" fontId="4" fillId="12" borderId="89" xfId="0" applyNumberFormat="1" applyFont="1" applyFill="1" applyBorder="1" applyAlignment="1">
      <alignment horizontal="center" vertical="center"/>
    </xf>
    <xf numFmtId="44" fontId="4" fillId="0" borderId="0" xfId="2" applyFont="1" applyAlignment="1">
      <alignment horizontal="center" vertical="center"/>
    </xf>
    <xf numFmtId="166" fontId="4" fillId="0" borderId="0" xfId="1" applyNumberFormat="1" applyFont="1" applyAlignment="1">
      <alignment horizontal="center" vertical="center"/>
    </xf>
    <xf numFmtId="165" fontId="0" fillId="0" borderId="86" xfId="0" applyNumberFormat="1" applyBorder="1" applyAlignment="1">
      <alignment horizontal="center" vertical="center"/>
    </xf>
    <xf numFmtId="165" fontId="0" fillId="0" borderId="46" xfId="0" applyNumberFormat="1" applyBorder="1" applyAlignment="1">
      <alignment horizontal="center" vertical="center"/>
    </xf>
    <xf numFmtId="43" fontId="0" fillId="0" borderId="86" xfId="1"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2" fontId="0" fillId="14" borderId="9" xfId="0" applyNumberFormat="1" applyFill="1" applyBorder="1" applyAlignment="1">
      <alignment horizontal="center" vertical="center"/>
    </xf>
    <xf numFmtId="0" fontId="0" fillId="14" borderId="9" xfId="0" applyFill="1" applyBorder="1" applyAlignment="1">
      <alignment horizontal="center" vertical="center"/>
    </xf>
    <xf numFmtId="0" fontId="2" fillId="14" borderId="40" xfId="4" applyFill="1" applyBorder="1"/>
    <xf numFmtId="1" fontId="0" fillId="14" borderId="9" xfId="0" applyNumberFormat="1" applyFill="1" applyBorder="1"/>
    <xf numFmtId="1" fontId="0" fillId="14" borderId="44" xfId="0" applyNumberFormat="1" applyFill="1" applyBorder="1"/>
    <xf numFmtId="1" fontId="0" fillId="14" borderId="45" xfId="0" applyNumberFormat="1" applyFill="1" applyBorder="1"/>
    <xf numFmtId="1" fontId="0" fillId="14" borderId="46" xfId="0" applyNumberFormat="1" applyFill="1" applyBorder="1"/>
    <xf numFmtId="44" fontId="3" fillId="14" borderId="87" xfId="2" applyFont="1" applyFill="1" applyBorder="1" applyAlignment="1">
      <alignment horizontal="center" vertical="center"/>
    </xf>
    <xf numFmtId="44" fontId="3" fillId="14" borderId="9" xfId="2" applyFont="1" applyFill="1" applyBorder="1" applyAlignment="1">
      <alignment horizontal="center" vertical="center"/>
    </xf>
    <xf numFmtId="44" fontId="3" fillId="14" borderId="44" xfId="2" applyFont="1" applyFill="1" applyBorder="1" applyAlignment="1">
      <alignment horizontal="center" vertical="center"/>
    </xf>
    <xf numFmtId="168" fontId="0" fillId="14" borderId="61" xfId="0" applyNumberFormat="1" applyFill="1" applyBorder="1" applyAlignment="1">
      <alignment horizontal="center" vertical="center"/>
    </xf>
    <xf numFmtId="168" fontId="0" fillId="14" borderId="2" xfId="0" applyNumberFormat="1" applyFill="1" applyBorder="1" applyAlignment="1">
      <alignment horizontal="center" vertical="center"/>
    </xf>
    <xf numFmtId="168" fontId="0" fillId="14" borderId="77" xfId="0" applyNumberFormat="1" applyFill="1" applyBorder="1" applyAlignment="1">
      <alignment horizontal="center" vertical="center"/>
    </xf>
    <xf numFmtId="168" fontId="0" fillId="14" borderId="49" xfId="0" applyNumberFormat="1" applyFill="1" applyBorder="1" applyAlignment="1">
      <alignment horizontal="center" vertical="center"/>
    </xf>
    <xf numFmtId="168" fontId="0" fillId="14" borderId="9" xfId="0" applyNumberFormat="1" applyFill="1" applyBorder="1" applyAlignment="1">
      <alignment horizontal="center" vertical="center"/>
    </xf>
    <xf numFmtId="168" fontId="0" fillId="14" borderId="44" xfId="0" applyNumberFormat="1" applyFill="1" applyBorder="1" applyAlignment="1">
      <alignment horizontal="center" vertical="center"/>
    </xf>
    <xf numFmtId="168" fontId="0" fillId="14" borderId="91" xfId="0" applyNumberFormat="1" applyFill="1" applyBorder="1" applyAlignment="1">
      <alignment horizontal="center" vertical="center"/>
    </xf>
    <xf numFmtId="168" fontId="0" fillId="14" borderId="45" xfId="0" applyNumberFormat="1" applyFill="1" applyBorder="1" applyAlignment="1">
      <alignment horizontal="center" vertical="center"/>
    </xf>
    <xf numFmtId="168" fontId="0" fillId="14" borderId="46" xfId="0" applyNumberFormat="1" applyFill="1" applyBorder="1" applyAlignment="1">
      <alignment horizontal="center" vertical="center"/>
    </xf>
    <xf numFmtId="167" fontId="0" fillId="14" borderId="3" xfId="0" applyNumberFormat="1" applyFill="1" applyBorder="1" applyAlignment="1">
      <alignment horizontal="center" vertical="center"/>
    </xf>
    <xf numFmtId="167" fontId="0" fillId="14" borderId="2" xfId="0" applyNumberFormat="1" applyFill="1" applyBorder="1" applyAlignment="1">
      <alignment horizontal="center" vertical="center"/>
    </xf>
    <xf numFmtId="167" fontId="0" fillId="14" borderId="77" xfId="0" applyNumberFormat="1" applyFill="1" applyBorder="1" applyAlignment="1">
      <alignment horizontal="center" vertical="center"/>
    </xf>
    <xf numFmtId="9" fontId="0" fillId="14" borderId="88" xfId="3" applyFont="1" applyFill="1" applyBorder="1" applyAlignment="1">
      <alignment horizontal="center" vertical="center"/>
    </xf>
    <xf numFmtId="9" fontId="0" fillId="14" borderId="45" xfId="3" applyFont="1" applyFill="1" applyBorder="1" applyAlignment="1">
      <alignment horizontal="center" vertical="center"/>
    </xf>
    <xf numFmtId="9" fontId="0" fillId="14" borderId="46" xfId="3" applyFont="1" applyFill="1" applyBorder="1" applyAlignment="1">
      <alignment horizontal="center" vertical="center"/>
    </xf>
    <xf numFmtId="1" fontId="0" fillId="14" borderId="29" xfId="0" applyNumberFormat="1" applyFill="1" applyBorder="1" applyAlignment="1">
      <alignment horizontal="center" vertical="center"/>
    </xf>
    <xf numFmtId="1" fontId="0" fillId="14" borderId="30" xfId="0" applyNumberFormat="1" applyFill="1" applyBorder="1" applyAlignment="1">
      <alignment horizontal="center" vertical="center"/>
    </xf>
    <xf numFmtId="1" fontId="0" fillId="14" borderId="32" xfId="0" applyNumberFormat="1" applyFill="1" applyBorder="1" applyAlignment="1">
      <alignment horizontal="center" vertical="center"/>
    </xf>
    <xf numFmtId="1" fontId="0" fillId="14" borderId="0" xfId="0" applyNumberFormat="1" applyFill="1" applyBorder="1" applyAlignment="1">
      <alignment horizontal="center" vertical="center"/>
    </xf>
    <xf numFmtId="0" fontId="0" fillId="14" borderId="32" xfId="0" applyFill="1" applyBorder="1" applyAlignment="1">
      <alignment horizontal="center" vertical="center"/>
    </xf>
    <xf numFmtId="170" fontId="0" fillId="0" borderId="0" xfId="0" applyNumberFormat="1" applyAlignment="1">
      <alignment horizontal="center" vertical="center"/>
    </xf>
    <xf numFmtId="44" fontId="0" fillId="0" borderId="2" xfId="0" applyNumberForma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center" wrapText="1"/>
    </xf>
    <xf numFmtId="169" fontId="0" fillId="0" borderId="0" xfId="0" applyNumberFormat="1" applyFill="1" applyBorder="1" applyAlignment="1">
      <alignment horizontal="center" vertical="center"/>
    </xf>
    <xf numFmtId="0" fontId="4" fillId="13" borderId="88" xfId="0" applyFont="1" applyFill="1" applyBorder="1" applyAlignment="1">
      <alignment horizontal="right"/>
    </xf>
    <xf numFmtId="0" fontId="4" fillId="13" borderId="45" xfId="0" applyFont="1" applyFill="1" applyBorder="1" applyAlignment="1">
      <alignment horizontal="right"/>
    </xf>
    <xf numFmtId="0" fontId="4" fillId="13" borderId="46" xfId="0" applyFont="1" applyFill="1" applyBorder="1" applyAlignment="1">
      <alignment horizontal="right"/>
    </xf>
    <xf numFmtId="0" fontId="4" fillId="13" borderId="91" xfId="0" applyFont="1" applyFill="1" applyBorder="1" applyAlignment="1">
      <alignment horizontal="right"/>
    </xf>
    <xf numFmtId="0" fontId="0" fillId="0" borderId="3" xfId="0" applyBorder="1"/>
    <xf numFmtId="0" fontId="0" fillId="0" borderId="2" xfId="0" applyBorder="1"/>
    <xf numFmtId="0" fontId="0" fillId="0" borderId="77" xfId="0" applyBorder="1"/>
    <xf numFmtId="0" fontId="0" fillId="0" borderId="61" xfId="0" applyBorder="1"/>
    <xf numFmtId="0" fontId="0" fillId="0" borderId="87" xfId="0" applyBorder="1"/>
    <xf numFmtId="0" fontId="0" fillId="0" borderId="9" xfId="0" applyBorder="1"/>
    <xf numFmtId="0" fontId="0" fillId="0" borderId="44" xfId="0" applyBorder="1"/>
    <xf numFmtId="0" fontId="0" fillId="0" borderId="49" xfId="0" applyBorder="1"/>
    <xf numFmtId="0" fontId="0" fillId="0" borderId="100" xfId="0" applyBorder="1"/>
    <xf numFmtId="0" fontId="0" fillId="0" borderId="101" xfId="0" applyBorder="1"/>
    <xf numFmtId="0" fontId="0" fillId="0" borderId="102" xfId="0" applyBorder="1"/>
    <xf numFmtId="0" fontId="0" fillId="0" borderId="103" xfId="0" applyBorder="1"/>
    <xf numFmtId="0" fontId="4" fillId="0" borderId="28" xfId="0" applyFont="1" applyBorder="1"/>
    <xf numFmtId="0" fontId="4" fillId="0" borderId="6" xfId="0" applyFont="1" applyBorder="1"/>
    <xf numFmtId="0" fontId="4" fillId="0" borderId="5" xfId="0" applyFont="1" applyBorder="1"/>
    <xf numFmtId="0" fontId="4" fillId="0" borderId="89" xfId="0" applyFont="1" applyBorder="1"/>
    <xf numFmtId="1" fontId="4" fillId="0" borderId="90" xfId="0" applyNumberFormat="1" applyFont="1" applyBorder="1"/>
    <xf numFmtId="1" fontId="4" fillId="0" borderId="5" xfId="0" applyNumberFormat="1" applyFont="1" applyBorder="1"/>
    <xf numFmtId="1" fontId="4" fillId="0" borderId="89" xfId="0" applyNumberFormat="1" applyFont="1" applyBorder="1"/>
    <xf numFmtId="0" fontId="4" fillId="0" borderId="90" xfId="0" applyFont="1" applyBorder="1"/>
    <xf numFmtId="10" fontId="0" fillId="0" borderId="0" xfId="3" applyNumberFormat="1" applyFont="1"/>
    <xf numFmtId="2" fontId="0" fillId="0" borderId="3" xfId="0" applyNumberFormat="1" applyBorder="1"/>
    <xf numFmtId="2" fontId="0" fillId="0" borderId="61" xfId="0" applyNumberFormat="1" applyBorder="1"/>
    <xf numFmtId="2" fontId="0" fillId="0" borderId="2" xfId="0" applyNumberFormat="1" applyBorder="1"/>
    <xf numFmtId="2" fontId="0" fillId="0" borderId="77" xfId="0" applyNumberFormat="1" applyBorder="1"/>
    <xf numFmtId="2" fontId="0" fillId="0" borderId="9" xfId="0" applyNumberFormat="1" applyBorder="1"/>
    <xf numFmtId="2" fontId="0" fillId="0" borderId="44" xfId="0" applyNumberFormat="1" applyBorder="1"/>
    <xf numFmtId="2" fontId="0" fillId="0" borderId="101" xfId="0" applyNumberFormat="1" applyBorder="1"/>
    <xf numFmtId="2" fontId="0" fillId="0" borderId="102" xfId="0" applyNumberFormat="1" applyBorder="1"/>
    <xf numFmtId="2" fontId="4" fillId="0" borderId="6" xfId="0" applyNumberFormat="1" applyFont="1" applyBorder="1"/>
    <xf numFmtId="2" fontId="4" fillId="0" borderId="5" xfId="0" applyNumberFormat="1" applyFont="1" applyBorder="1"/>
    <xf numFmtId="2" fontId="4" fillId="0" borderId="89" xfId="0" applyNumberFormat="1" applyFont="1" applyBorder="1"/>
    <xf numFmtId="2" fontId="0" fillId="4" borderId="9" xfId="0" applyNumberFormat="1" applyFill="1" applyBorder="1" applyAlignment="1">
      <alignment horizontal="center" vertical="center"/>
    </xf>
    <xf numFmtId="0" fontId="0" fillId="12" borderId="9" xfId="0" applyFill="1" applyBorder="1"/>
    <xf numFmtId="0" fontId="0" fillId="16" borderId="9" xfId="0" applyFill="1" applyBorder="1"/>
    <xf numFmtId="0" fontId="0" fillId="15" borderId="9" xfId="0" applyFill="1" applyBorder="1" applyAlignment="1">
      <alignment horizontal="center"/>
    </xf>
    <xf numFmtId="0" fontId="4" fillId="0" borderId="9" xfId="0" applyFont="1" applyBorder="1" applyAlignment="1">
      <alignment horizontal="left" vertical="center"/>
    </xf>
    <xf numFmtId="0" fontId="4" fillId="0" borderId="85" xfId="0" applyFont="1" applyBorder="1" applyAlignment="1">
      <alignment horizontal="left" vertical="center"/>
    </xf>
    <xf numFmtId="0" fontId="4" fillId="0" borderId="88" xfId="0" applyFont="1" applyBorder="1" applyAlignment="1">
      <alignment horizontal="left" vertical="center"/>
    </xf>
    <xf numFmtId="0" fontId="4" fillId="15" borderId="9" xfId="0" applyFont="1" applyFill="1" applyBorder="1" applyAlignment="1">
      <alignment vertical="center"/>
    </xf>
    <xf numFmtId="0" fontId="4" fillId="15" borderId="9" xfId="0" applyFont="1" applyFill="1" applyBorder="1" applyAlignment="1">
      <alignment horizontal="center" vertical="center"/>
    </xf>
    <xf numFmtId="0" fontId="4" fillId="12" borderId="9" xfId="0" applyFont="1" applyFill="1" applyBorder="1"/>
    <xf numFmtId="0" fontId="4" fillId="16" borderId="9" xfId="0" applyFont="1" applyFill="1" applyBorder="1"/>
    <xf numFmtId="169" fontId="0" fillId="12" borderId="9" xfId="0" applyNumberFormat="1" applyFill="1" applyBorder="1" applyAlignment="1">
      <alignment horizontal="right"/>
    </xf>
    <xf numFmtId="169" fontId="0" fillId="15" borderId="9" xfId="0" applyNumberFormat="1" applyFill="1" applyBorder="1" applyAlignment="1">
      <alignment horizontal="right"/>
    </xf>
    <xf numFmtId="169" fontId="4" fillId="12" borderId="9" xfId="0" applyNumberFormat="1" applyFont="1" applyFill="1" applyBorder="1" applyAlignment="1">
      <alignment horizontal="right" vertical="center"/>
    </xf>
    <xf numFmtId="0" fontId="4" fillId="15" borderId="9" xfId="0" applyFont="1" applyFill="1" applyBorder="1" applyAlignment="1">
      <alignment horizontal="right" vertical="center"/>
    </xf>
    <xf numFmtId="0" fontId="0" fillId="16" borderId="9" xfId="0" applyFill="1" applyBorder="1" applyAlignment="1">
      <alignment horizontal="left"/>
    </xf>
    <xf numFmtId="0" fontId="4" fillId="16" borderId="9" xfId="0" applyFont="1" applyFill="1" applyBorder="1" applyAlignment="1">
      <alignment horizontal="left" vertical="center"/>
    </xf>
    <xf numFmtId="0" fontId="0" fillId="16" borderId="9" xfId="0" applyFill="1" applyBorder="1" applyAlignment="1">
      <alignment horizontal="left" vertical="center"/>
    </xf>
    <xf numFmtId="0" fontId="0" fillId="16" borderId="9" xfId="0" applyFill="1" applyBorder="1" applyAlignment="1">
      <alignment horizontal="left" vertical="center" wrapText="1"/>
    </xf>
    <xf numFmtId="0" fontId="0" fillId="15" borderId="9" xfId="0" applyFill="1" applyBorder="1" applyAlignment="1">
      <alignment horizontal="left" vertical="center"/>
    </xf>
    <xf numFmtId="0" fontId="4" fillId="12" borderId="9" xfId="0" applyFont="1" applyFill="1" applyBorder="1" applyAlignment="1">
      <alignment horizontal="left" vertical="center"/>
    </xf>
    <xf numFmtId="14" fontId="4" fillId="12" borderId="9" xfId="0" applyNumberFormat="1" applyFont="1" applyFill="1" applyBorder="1" applyAlignment="1">
      <alignment horizontal="left" vertical="center"/>
    </xf>
    <xf numFmtId="0" fontId="4" fillId="15" borderId="9" xfId="0" applyFont="1" applyFill="1" applyBorder="1" applyAlignment="1">
      <alignment horizontal="left" vertical="center" wrapText="1"/>
    </xf>
    <xf numFmtId="0" fontId="4" fillId="15" borderId="9" xfId="0" applyFont="1" applyFill="1" applyBorder="1" applyAlignment="1">
      <alignment horizontal="left" vertical="center"/>
    </xf>
    <xf numFmtId="0" fontId="4" fillId="0" borderId="0" xfId="0" applyFont="1"/>
    <xf numFmtId="0" fontId="0" fillId="17" borderId="92" xfId="0" applyFill="1" applyBorder="1"/>
    <xf numFmtId="0" fontId="0" fillId="17" borderId="93" xfId="0" applyFill="1" applyBorder="1"/>
    <xf numFmtId="0" fontId="0" fillId="18" borderId="93" xfId="0" applyFill="1" applyBorder="1"/>
    <xf numFmtId="0" fontId="0" fillId="19" borderId="93" xfId="0" applyFill="1" applyBorder="1"/>
    <xf numFmtId="0" fontId="0" fillId="20" borderId="93" xfId="0" applyFill="1" applyBorder="1"/>
    <xf numFmtId="0" fontId="0" fillId="21" borderId="99" xfId="0" applyFill="1" applyBorder="1"/>
    <xf numFmtId="2" fontId="0" fillId="0" borderId="0" xfId="0" applyNumberFormat="1"/>
    <xf numFmtId="1" fontId="0" fillId="0" borderId="2" xfId="0" applyNumberFormat="1" applyBorder="1"/>
    <xf numFmtId="1" fontId="0" fillId="0" borderId="77" xfId="0" applyNumberFormat="1" applyBorder="1"/>
    <xf numFmtId="1" fontId="0" fillId="0" borderId="9" xfId="0" applyNumberFormat="1" applyBorder="1"/>
    <xf numFmtId="1" fontId="0" fillId="0" borderId="44" xfId="0" applyNumberFormat="1" applyBorder="1"/>
    <xf numFmtId="1" fontId="0" fillId="0" borderId="101" xfId="0" applyNumberFormat="1" applyBorder="1"/>
    <xf numFmtId="1" fontId="0" fillId="0" borderId="102" xfId="0" applyNumberFormat="1" applyBorder="1"/>
    <xf numFmtId="0" fontId="0" fillId="0" borderId="9" xfId="0" applyBorder="1" applyAlignment="1">
      <alignment horizontal="right"/>
    </xf>
    <xf numFmtId="1" fontId="0" fillId="0" borderId="0" xfId="0" applyNumberFormat="1"/>
    <xf numFmtId="0" fontId="0" fillId="22" borderId="0" xfId="0" applyFill="1"/>
    <xf numFmtId="4" fontId="0" fillId="22" borderId="0" xfId="0" applyNumberFormat="1" applyFill="1"/>
    <xf numFmtId="171" fontId="0" fillId="0" borderId="0" xfId="0" applyNumberFormat="1"/>
    <xf numFmtId="171" fontId="0" fillId="22" borderId="0" xfId="0" applyNumberFormat="1" applyFill="1"/>
    <xf numFmtId="2" fontId="0" fillId="14" borderId="61" xfId="0" applyNumberFormat="1" applyFill="1" applyBorder="1" applyAlignment="1">
      <alignment horizontal="center" vertical="center"/>
    </xf>
    <xf numFmtId="2" fontId="0" fillId="14" borderId="2" xfId="0" applyNumberFormat="1" applyFill="1" applyBorder="1" applyAlignment="1">
      <alignment horizontal="center" vertical="center"/>
    </xf>
    <xf numFmtId="2" fontId="0" fillId="14" borderId="77" xfId="0" applyNumberFormat="1" applyFill="1" applyBorder="1" applyAlignment="1">
      <alignment horizontal="center" vertical="center"/>
    </xf>
    <xf numFmtId="2" fontId="0" fillId="14" borderId="49" xfId="0" applyNumberFormat="1" applyFill="1" applyBorder="1" applyAlignment="1">
      <alignment horizontal="center" vertical="center"/>
    </xf>
    <xf numFmtId="2" fontId="0" fillId="14" borderId="44" xfId="0" applyNumberFormat="1" applyFill="1" applyBorder="1" applyAlignment="1">
      <alignment horizontal="center" vertical="center"/>
    </xf>
    <xf numFmtId="2" fontId="0" fillId="14" borderId="91" xfId="0" applyNumberFormat="1" applyFill="1" applyBorder="1" applyAlignment="1">
      <alignment horizontal="center" vertical="center"/>
    </xf>
    <xf numFmtId="2" fontId="0" fillId="14" borderId="45" xfId="0" applyNumberFormat="1" applyFill="1" applyBorder="1" applyAlignment="1">
      <alignment horizontal="center" vertical="center"/>
    </xf>
    <xf numFmtId="2" fontId="0" fillId="14" borderId="46" xfId="0" applyNumberFormat="1" applyFill="1" applyBorder="1" applyAlignment="1">
      <alignment horizontal="center" vertical="center"/>
    </xf>
    <xf numFmtId="169" fontId="0" fillId="0" borderId="0" xfId="0" applyNumberFormat="1"/>
    <xf numFmtId="172" fontId="0" fillId="0" borderId="0" xfId="0" applyNumberFormat="1"/>
    <xf numFmtId="169" fontId="0" fillId="4" borderId="9" xfId="0" applyNumberFormat="1" applyFill="1" applyBorder="1" applyAlignment="1">
      <alignment horizontal="right" vertical="center"/>
    </xf>
    <xf numFmtId="169" fontId="0" fillId="0" borderId="0" xfId="0" applyNumberFormat="1" applyFill="1" applyBorder="1" applyAlignment="1">
      <alignment horizontal="right" vertical="center"/>
    </xf>
    <xf numFmtId="1" fontId="0" fillId="0" borderId="0" xfId="0" applyNumberFormat="1" applyFill="1" applyBorder="1" applyAlignment="1">
      <alignment horizontal="right" vertical="center"/>
    </xf>
    <xf numFmtId="164" fontId="0" fillId="0" borderId="0" xfId="0" applyNumberFormat="1" applyAlignment="1">
      <alignment horizontal="right" vertical="center"/>
    </xf>
    <xf numFmtId="9" fontId="0" fillId="0" borderId="0" xfId="0" applyNumberFormat="1" applyAlignment="1">
      <alignment horizontal="right" vertical="center"/>
    </xf>
    <xf numFmtId="2" fontId="0" fillId="0" borderId="0" xfId="0" applyNumberFormat="1" applyAlignment="1">
      <alignment horizontal="right" vertical="center"/>
    </xf>
    <xf numFmtId="0" fontId="4" fillId="0" borderId="0" xfId="0" applyFont="1" applyAlignment="1">
      <alignment horizontal="left" vertical="center"/>
    </xf>
    <xf numFmtId="169" fontId="4" fillId="0" borderId="0" xfId="0" applyNumberFormat="1" applyFont="1"/>
    <xf numFmtId="0" fontId="0" fillId="0" borderId="0" xfId="0" applyAlignment="1">
      <alignment horizontal="right"/>
    </xf>
    <xf numFmtId="21" fontId="0" fillId="0" borderId="0" xfId="0" applyNumberFormat="1" applyAlignment="1">
      <alignment horizontal="right"/>
    </xf>
    <xf numFmtId="2" fontId="0" fillId="22" borderId="0" xfId="0" applyNumberFormat="1" applyFill="1"/>
    <xf numFmtId="164" fontId="2" fillId="14" borderId="1" xfId="4" applyNumberFormat="1" applyFill="1" applyBorder="1"/>
    <xf numFmtId="164" fontId="2" fillId="14" borderId="38" xfId="4" applyNumberFormat="1" applyFill="1" applyBorder="1"/>
    <xf numFmtId="164" fontId="2" fillId="14" borderId="35" xfId="4" applyNumberFormat="1" applyFill="1" applyBorder="1"/>
    <xf numFmtId="164" fontId="2" fillId="14" borderId="39" xfId="4" applyNumberFormat="1" applyFill="1" applyBorder="1"/>
    <xf numFmtId="1" fontId="2" fillId="14" borderId="1" xfId="4" applyNumberFormat="1" applyFill="1" applyBorder="1"/>
    <xf numFmtId="1" fontId="2" fillId="14" borderId="35" xfId="4" applyNumberFormat="1" applyFill="1" applyBorder="1"/>
    <xf numFmtId="1" fontId="0" fillId="0" borderId="30" xfId="0" applyNumberFormat="1" applyBorder="1"/>
    <xf numFmtId="1" fontId="0" fillId="0" borderId="0" xfId="0" applyNumberFormat="1" applyBorder="1"/>
    <xf numFmtId="2" fontId="23" fillId="0" borderId="9" xfId="0" applyNumberFormat="1" applyFont="1" applyBorder="1"/>
    <xf numFmtId="1" fontId="23" fillId="0" borderId="9" xfId="0" applyNumberFormat="1" applyFont="1" applyBorder="1"/>
    <xf numFmtId="1" fontId="3" fillId="0" borderId="9" xfId="0" applyNumberFormat="1" applyFont="1" applyBorder="1"/>
    <xf numFmtId="0" fontId="23" fillId="0" borderId="9" xfId="0" applyFont="1" applyBorder="1" applyAlignment="1">
      <alignment horizontal="right"/>
    </xf>
    <xf numFmtId="0" fontId="4" fillId="13" borderId="85" xfId="0" applyFont="1" applyFill="1" applyBorder="1" applyAlignment="1">
      <alignment horizontal="center"/>
    </xf>
    <xf numFmtId="0" fontId="4" fillId="13" borderId="97" xfId="0" applyFont="1" applyFill="1" applyBorder="1" applyAlignment="1">
      <alignment horizontal="center"/>
    </xf>
    <xf numFmtId="0" fontId="4" fillId="13" borderId="86" xfId="0" applyFont="1" applyFill="1" applyBorder="1" applyAlignment="1">
      <alignment horizontal="center"/>
    </xf>
    <xf numFmtId="0" fontId="4" fillId="13" borderId="87" xfId="0" applyFont="1" applyFill="1" applyBorder="1" applyAlignment="1">
      <alignment horizontal="center"/>
    </xf>
    <xf numFmtId="0" fontId="4" fillId="13" borderId="9" xfId="0" applyFont="1" applyFill="1" applyBorder="1" applyAlignment="1">
      <alignment horizontal="center"/>
    </xf>
    <xf numFmtId="0" fontId="4" fillId="13" borderId="44" xfId="0" applyFont="1" applyFill="1" applyBorder="1" applyAlignment="1">
      <alignment horizontal="center"/>
    </xf>
    <xf numFmtId="0" fontId="4" fillId="13" borderId="96" xfId="0" applyFont="1" applyFill="1" applyBorder="1" applyAlignment="1">
      <alignment horizontal="right"/>
    </xf>
    <xf numFmtId="0" fontId="4" fillId="13" borderId="93" xfId="0" applyFont="1" applyFill="1" applyBorder="1" applyAlignment="1">
      <alignment horizontal="right"/>
    </xf>
    <xf numFmtId="0" fontId="4" fillId="13" borderId="94" xfId="0" applyFont="1" applyFill="1" applyBorder="1" applyAlignment="1">
      <alignment horizontal="right"/>
    </xf>
    <xf numFmtId="0" fontId="4" fillId="13" borderId="98" xfId="0" applyFont="1" applyFill="1" applyBorder="1" applyAlignment="1">
      <alignment horizontal="center"/>
    </xf>
    <xf numFmtId="0" fontId="4" fillId="13" borderId="49" xfId="0" applyFont="1" applyFill="1" applyBorder="1" applyAlignment="1">
      <alignment horizontal="center"/>
    </xf>
    <xf numFmtId="2" fontId="0" fillId="0" borderId="0" xfId="0" applyNumberFormat="1" applyAlignment="1">
      <alignment horizontal="center"/>
    </xf>
    <xf numFmtId="0" fontId="0" fillId="0" borderId="10" xfId="0" applyBorder="1" applyAlignment="1">
      <alignment horizontal="center"/>
    </xf>
    <xf numFmtId="0" fontId="0" fillId="0" borderId="49" xfId="0" applyBorder="1" applyAlignment="1">
      <alignment horizontal="center"/>
    </xf>
    <xf numFmtId="0" fontId="4" fillId="13" borderId="104" xfId="0" applyFont="1" applyFill="1" applyBorder="1" applyAlignment="1">
      <alignment horizontal="right"/>
    </xf>
    <xf numFmtId="0" fontId="4" fillId="13" borderId="105" xfId="0" applyFont="1" applyFill="1" applyBorder="1" applyAlignment="1">
      <alignment horizontal="right"/>
    </xf>
    <xf numFmtId="0" fontId="4" fillId="13" borderId="106" xfId="0" applyFont="1" applyFill="1" applyBorder="1" applyAlignment="1">
      <alignment horizontal="right"/>
    </xf>
    <xf numFmtId="1" fontId="0" fillId="0" borderId="10" xfId="0" applyNumberFormat="1" applyBorder="1" applyAlignment="1">
      <alignment horizontal="center"/>
    </xf>
    <xf numFmtId="1" fontId="0" fillId="0" borderId="49" xfId="0" applyNumberFormat="1" applyBorder="1" applyAlignment="1">
      <alignment horizontal="center"/>
    </xf>
    <xf numFmtId="1" fontId="0" fillId="0" borderId="107" xfId="0" applyNumberFormat="1" applyBorder="1" applyAlignment="1">
      <alignment horizontal="center"/>
    </xf>
    <xf numFmtId="2" fontId="0" fillId="0" borderId="10" xfId="0" applyNumberFormat="1" applyBorder="1" applyAlignment="1">
      <alignment horizontal="center"/>
    </xf>
    <xf numFmtId="2" fontId="0" fillId="0" borderId="49" xfId="0" applyNumberFormat="1" applyBorder="1" applyAlignment="1">
      <alignment horizontal="center"/>
    </xf>
    <xf numFmtId="0" fontId="0" fillId="0" borderId="9" xfId="0" applyBorder="1" applyAlignment="1">
      <alignment horizontal="center" vertical="center"/>
    </xf>
    <xf numFmtId="0" fontId="4" fillId="0" borderId="9" xfId="0" applyFont="1" applyBorder="1" applyAlignment="1">
      <alignment horizontal="center" vertical="center" wrapText="1"/>
    </xf>
    <xf numFmtId="0" fontId="0" fillId="0" borderId="32" xfId="0" applyBorder="1" applyAlignment="1">
      <alignment horizontal="center" wrapText="1"/>
    </xf>
    <xf numFmtId="0" fontId="0" fillId="0" borderId="0" xfId="0" applyBorder="1" applyAlignment="1">
      <alignment horizontal="center" wrapText="1"/>
    </xf>
    <xf numFmtId="0" fontId="0" fillId="0" borderId="33" xfId="0" applyBorder="1" applyAlignment="1">
      <alignment horizontal="center" wrapText="1"/>
    </xf>
    <xf numFmtId="0" fontId="0" fillId="0" borderId="29" xfId="0"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wrapText="1"/>
    </xf>
    <xf numFmtId="0" fontId="4" fillId="0" borderId="0" xfId="0" applyFont="1" applyAlignment="1">
      <alignment horizontal="right" vertical="center"/>
    </xf>
    <xf numFmtId="0" fontId="0" fillId="5" borderId="30"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36" xfId="0" applyFill="1" applyBorder="1" applyAlignment="1">
      <alignment horizontal="center" vertical="center" wrapText="1"/>
    </xf>
    <xf numFmtId="0" fontId="0" fillId="5" borderId="37" xfId="0" applyFill="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89"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 fillId="0" borderId="83" xfId="0" applyFont="1" applyBorder="1" applyAlignment="1">
      <alignment horizontal="center" vertical="center"/>
    </xf>
    <xf numFmtId="0" fontId="4" fillId="0" borderId="82" xfId="0" applyFont="1" applyBorder="1" applyAlignment="1">
      <alignment horizontal="center" vertical="center"/>
    </xf>
    <xf numFmtId="0" fontId="4" fillId="0" borderId="36" xfId="0" applyFont="1" applyBorder="1" applyAlignment="1">
      <alignment horizontal="center" vertical="center"/>
    </xf>
    <xf numFmtId="0" fontId="0" fillId="5" borderId="0" xfId="0" applyFill="1" applyBorder="1" applyAlignment="1">
      <alignment horizontal="center" vertical="center" wrapText="1"/>
    </xf>
    <xf numFmtId="0" fontId="0" fillId="5" borderId="33" xfId="0" applyFill="1" applyBorder="1" applyAlignment="1">
      <alignment horizontal="center" vertical="center" wrapText="1"/>
    </xf>
    <xf numFmtId="0" fontId="0" fillId="13" borderId="8" xfId="0" applyFill="1" applyBorder="1" applyAlignment="1">
      <alignment horizontal="center"/>
    </xf>
    <xf numFmtId="0" fontId="0" fillId="13" borderId="7" xfId="0" applyFill="1"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12" fillId="7" borderId="30" xfId="5" applyFont="1" applyFill="1" applyBorder="1" applyAlignment="1" applyProtection="1">
      <alignment vertical="center"/>
      <protection hidden="1"/>
    </xf>
    <xf numFmtId="0" fontId="13" fillId="0" borderId="30" xfId="5" applyBorder="1" applyAlignment="1" applyProtection="1">
      <alignment vertical="center"/>
      <protection hidden="1"/>
    </xf>
    <xf numFmtId="0" fontId="12" fillId="9" borderId="0" xfId="6" applyFont="1" applyFill="1" applyBorder="1" applyAlignment="1" applyProtection="1">
      <alignment horizontal="center" vertical="center"/>
      <protection hidden="1"/>
    </xf>
    <xf numFmtId="0" fontId="10" fillId="6" borderId="11" xfId="5" applyFont="1" applyFill="1" applyBorder="1" applyAlignment="1" applyProtection="1">
      <alignment vertical="center"/>
      <protection hidden="1"/>
    </xf>
    <xf numFmtId="0" fontId="13" fillId="6" borderId="12" xfId="5" applyFill="1" applyBorder="1" applyAlignment="1" applyProtection="1">
      <alignment vertical="center"/>
      <protection hidden="1"/>
    </xf>
    <xf numFmtId="0" fontId="12" fillId="9" borderId="10" xfId="5" applyFont="1" applyFill="1" applyBorder="1" applyAlignment="1" applyProtection="1">
      <alignment horizontal="center" vertical="center"/>
      <protection hidden="1"/>
    </xf>
    <xf numFmtId="0" fontId="12" fillId="9" borderId="49" xfId="5" applyFont="1" applyFill="1" applyBorder="1" applyAlignment="1" applyProtection="1">
      <alignment horizontal="center" vertical="center"/>
      <protection hidden="1"/>
    </xf>
    <xf numFmtId="17" fontId="13" fillId="0" borderId="50" xfId="5" applyNumberFormat="1" applyFont="1" applyFill="1" applyBorder="1" applyAlignment="1">
      <alignment horizontal="center" vertical="center"/>
    </xf>
    <xf numFmtId="17" fontId="13" fillId="0" borderId="51" xfId="5" applyNumberFormat="1" applyFont="1" applyFill="1" applyBorder="1" applyAlignment="1">
      <alignment horizontal="center" vertical="center"/>
    </xf>
    <xf numFmtId="0" fontId="12" fillId="3" borderId="8" xfId="6" applyFont="1" applyFill="1" applyBorder="1" applyAlignment="1" applyProtection="1">
      <alignment horizontal="center" vertical="center"/>
      <protection locked="0" hidden="1"/>
    </xf>
    <xf numFmtId="0" fontId="12" fillId="3" borderId="7" xfId="6" applyFont="1" applyFill="1" applyBorder="1" applyAlignment="1" applyProtection="1">
      <alignment horizontal="center" vertical="center"/>
      <protection locked="0" hidden="1"/>
    </xf>
    <xf numFmtId="0" fontId="13" fillId="0" borderId="7" xfId="5" applyBorder="1" applyAlignment="1" applyProtection="1">
      <alignment vertical="center"/>
      <protection locked="0" hidden="1"/>
    </xf>
    <xf numFmtId="0" fontId="12" fillId="3" borderId="8" xfId="6" applyFont="1" applyFill="1" applyBorder="1" applyAlignment="1" applyProtection="1">
      <alignment horizontal="center" vertical="center"/>
      <protection locked="0"/>
    </xf>
    <xf numFmtId="0" fontId="12" fillId="8" borderId="7" xfId="6" applyFont="1" applyFill="1" applyBorder="1" applyAlignment="1" applyProtection="1">
      <alignment horizontal="center" vertical="center"/>
      <protection locked="0"/>
    </xf>
  </cellXfs>
  <cellStyles count="8">
    <cellStyle name="Comma" xfId="1" builtinId="3"/>
    <cellStyle name="Currency" xfId="2" builtinId="4"/>
    <cellStyle name="Hyperlink" xfId="6" builtinId="8"/>
    <cellStyle name="Input" xfId="4" builtinId="20"/>
    <cellStyle name="Normal" xfId="0" builtinId="0"/>
    <cellStyle name="Normal 2" xfId="5"/>
    <cellStyle name="Percent" xfId="3" builtinId="5"/>
    <cellStyle name="Percent 2" xfId="7"/>
  </cellStyles>
  <dxfs count="3">
    <dxf>
      <fill>
        <patternFill>
          <bgColor rgb="FFFFC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spPr>
            <a:solidFill>
              <a:schemeClr val="accent2"/>
            </a:solidFill>
            <a:ln>
              <a:noFill/>
            </a:ln>
            <a:effectLst/>
          </c:spPr>
          <c:invertIfNegative val="0"/>
          <c:cat>
            <c:numRef>
              <c:f>ATC_Data!$M$7:$M$30</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ATC_Data!$N$7:$N$30</c:f>
              <c:numCache>
                <c:formatCode>0</c:formatCode>
                <c:ptCount val="24"/>
                <c:pt idx="0">
                  <c:v>171.2</c:v>
                </c:pt>
                <c:pt idx="1">
                  <c:v>96.8</c:v>
                </c:pt>
                <c:pt idx="2">
                  <c:v>70.400000000000006</c:v>
                </c:pt>
                <c:pt idx="3">
                  <c:v>81.599999999999994</c:v>
                </c:pt>
                <c:pt idx="4">
                  <c:v>102.4</c:v>
                </c:pt>
                <c:pt idx="5">
                  <c:v>247.2</c:v>
                </c:pt>
                <c:pt idx="6">
                  <c:v>735.2</c:v>
                </c:pt>
                <c:pt idx="7">
                  <c:v>1390.4</c:v>
                </c:pt>
                <c:pt idx="8">
                  <c:v>1336</c:v>
                </c:pt>
                <c:pt idx="9">
                  <c:v>1306.4000000000001</c:v>
                </c:pt>
                <c:pt idx="10">
                  <c:v>1276</c:v>
                </c:pt>
                <c:pt idx="11">
                  <c:v>1295.2</c:v>
                </c:pt>
                <c:pt idx="12">
                  <c:v>1280</c:v>
                </c:pt>
                <c:pt idx="13">
                  <c:v>1303.2</c:v>
                </c:pt>
                <c:pt idx="14">
                  <c:v>1332</c:v>
                </c:pt>
                <c:pt idx="15">
                  <c:v>1287.2</c:v>
                </c:pt>
                <c:pt idx="16">
                  <c:v>1361.6</c:v>
                </c:pt>
                <c:pt idx="17">
                  <c:v>1384</c:v>
                </c:pt>
                <c:pt idx="18">
                  <c:v>1329.6</c:v>
                </c:pt>
                <c:pt idx="19">
                  <c:v>1115.2</c:v>
                </c:pt>
                <c:pt idx="20">
                  <c:v>819.2</c:v>
                </c:pt>
                <c:pt idx="21">
                  <c:v>672.8</c:v>
                </c:pt>
                <c:pt idx="22">
                  <c:v>526.4</c:v>
                </c:pt>
                <c:pt idx="23">
                  <c:v>348.8</c:v>
                </c:pt>
              </c:numCache>
            </c:numRef>
          </c:val>
        </c:ser>
        <c:dLbls>
          <c:showLegendKey val="0"/>
          <c:showVal val="0"/>
          <c:showCatName val="0"/>
          <c:showSerName val="0"/>
          <c:showPercent val="0"/>
          <c:showBubbleSize val="0"/>
        </c:dLbls>
        <c:gapWidth val="150"/>
        <c:axId val="129948288"/>
        <c:axId val="41612032"/>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ATC_Data!$M$7:$M$30</c15:sqref>
                        </c15:formulaRef>
                      </c:ext>
                    </c:extLst>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extLst>
                      <c:ext uri="{02D57815-91ED-43cb-92C2-25804820EDAC}">
                        <c15:formulaRef>
                          <c15:sqref>ATC_Data!$M$7:$M$30</c15:sqref>
                        </c15:formulaRef>
                      </c:ext>
                    </c:extLst>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val>
              </c15:ser>
            </c15:filteredBarSeries>
          </c:ext>
        </c:extLst>
      </c:barChart>
      <c:catAx>
        <c:axId val="1299482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Hour  Start</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12032"/>
        <c:crosses val="autoZero"/>
        <c:auto val="1"/>
        <c:lblAlgn val="ctr"/>
        <c:lblOffset val="100"/>
        <c:noMultiLvlLbl val="0"/>
      </c:catAx>
      <c:valAx>
        <c:axId val="41612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Flow, VPH</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948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15240</xdr:colOff>
      <xdr:row>5</xdr:row>
      <xdr:rowOff>175260</xdr:rowOff>
    </xdr:from>
    <xdr:to>
      <xdr:col>23</xdr:col>
      <xdr:colOff>586740</xdr:colOff>
      <xdr:row>25</xdr:row>
      <xdr:rowOff>83820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238125</xdr:colOff>
      <xdr:row>1</xdr:row>
      <xdr:rowOff>0</xdr:rowOff>
    </xdr:to>
    <xdr:pic>
      <xdr:nvPicPr>
        <xdr:cNvPr id="2" name="Picture 3" descr="DfT_3298_SML_AW"/>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942"/>
        <a:stretch>
          <a:fillRect/>
        </a:stretch>
      </xdr:blipFill>
      <xdr:spPr bwMode="auto">
        <a:xfrm>
          <a:off x="0" y="0"/>
          <a:ext cx="10953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kajr008\AppData\Local\Microsoft\Windows\Temporary%20Internet%20Files\Content.Outlook\AKK3CS0R\Modelling%20data%20spreadsheet\webtag-databook-march-2017-release-v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rago\data\AFP\TASMAll\TASM\005%20GUIDANCE\002%20PROJECT%20APPRAISAL\0002%20ECONOMIC%20IMPACTS\MECCs\141110%20IT%20MECC%20new%20meth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User Parameters"/>
      <sheetName val="Default Pars"/>
      <sheetName val="Audit"/>
      <sheetName val="Development versions"/>
      <sheetName val="TAG1"/>
      <sheetName val="Annual Parameters"/>
      <sheetName val="Annual Parameters Source"/>
      <sheetName val="TABLE TEMPLATE"/>
      <sheetName val="Discount %"/>
      <sheetName val="A1.1.1"/>
      <sheetName val="Source VoT"/>
      <sheetName val="A1.3.1"/>
      <sheetName val="Indirect tax correction"/>
      <sheetName val="A1.3.2"/>
      <sheetName val="A1.3.3"/>
      <sheetName val="A1.3.3.2"/>
      <sheetName val="Forecast occupancies"/>
      <sheetName val="VoT2"/>
      <sheetName val="VoT3"/>
      <sheetName val="VoT4"/>
      <sheetName val="A1.3.4"/>
      <sheetName val="VoT5"/>
      <sheetName val="VoT6"/>
      <sheetName val="A1.3.5"/>
      <sheetName val="A1.3.6"/>
      <sheetName val="A1.3.7"/>
      <sheetName val="VoC Fuel"/>
      <sheetName val="Electricity"/>
      <sheetName val="A1.3.8"/>
      <sheetName val="Fuel consumption"/>
      <sheetName val="A1.3.9"/>
      <sheetName val="VoC Mileage %"/>
      <sheetName val="A1.3.10"/>
      <sheetName val="VoC Efficiency"/>
      <sheetName val="A1.3.11"/>
      <sheetName val="A1.3.12"/>
      <sheetName val="A1.3.13"/>
      <sheetName val="A1.3.14"/>
      <sheetName val="VoC Non-Fuel"/>
      <sheetName val="A1.3.15"/>
      <sheetName val="Bus Social Impacts"/>
      <sheetName val="A1.3.16"/>
      <sheetName val="A1.3.17"/>
      <sheetName val="A1.3.18"/>
      <sheetName val="A3.1"/>
      <sheetName val="Noise"/>
      <sheetName val="A3.2"/>
      <sheetName val="NOx damage"/>
      <sheetName val="PM10 damage"/>
      <sheetName val="NOx abatement"/>
      <sheetName val="A3.3"/>
      <sheetName val="CO2"/>
      <sheetName val="A3.4"/>
      <sheetName val="GHG"/>
      <sheetName val="A4.1.1"/>
      <sheetName val="Casualty costs"/>
      <sheetName val="Casualty data"/>
      <sheetName val="A4.1.2"/>
      <sheetName val="A4.1.3"/>
      <sheetName val="Accident data"/>
      <sheetName val="Accident costs"/>
      <sheetName val="A4.1.4"/>
      <sheetName val="A4.1.5"/>
      <sheetName val="Rail"/>
      <sheetName val="A4.1.6"/>
      <sheetName val="Cycling"/>
      <sheetName val="A5.4.1"/>
      <sheetName val="A4.1.7"/>
      <sheetName val="Walking"/>
      <sheetName val="A4.1.8"/>
      <sheetName val="Option values"/>
      <sheetName val="A5.3.1"/>
      <sheetName val="Cost and rev series"/>
      <sheetName val="Total - Traffic %"/>
      <sheetName val="A5.4.2"/>
      <sheetName val="Car - MECs"/>
      <sheetName val="A5.4.3"/>
      <sheetName val="Car Traffic Shares"/>
      <sheetName val="A5.4.4"/>
      <sheetName val="MECs - time of day"/>
      <sheetName val="M2.1"/>
      <sheetName val="M2.2"/>
      <sheetName val="Income segmented VTTS"/>
      <sheetName val="M3.2.1"/>
      <sheetName val="Soft bus"/>
      <sheetName val="M4.2.1"/>
      <sheetName val="Adjustment Factors"/>
      <sheetName val="M4.2.2"/>
      <sheetName val="Car speeds"/>
      <sheetName val="M4.2.3"/>
      <sheetName val="Car and bus journey time"/>
      <sheetName val="COBALT 1"/>
      <sheetName val="COBALT 2"/>
      <sheetName val="COBALT 3"/>
      <sheetName val="COBALT 4"/>
      <sheetName val="COBALT 5"/>
      <sheetName val="COBALT 6"/>
      <sheetName val="COBALT 7"/>
      <sheetName val="COBALT 8"/>
      <sheetName val="COBALT 9"/>
      <sheetName val="Flow chart"/>
    </sheetNames>
    <sheetDataSet>
      <sheetData sheetId="0"/>
      <sheetData sheetId="1"/>
      <sheetData sheetId="2">
        <row r="13">
          <cell r="L13">
            <v>2010</v>
          </cell>
        </row>
      </sheetData>
      <sheetData sheetId="3">
        <row r="12">
          <cell r="M12">
            <v>1990</v>
          </cell>
          <cell r="N12">
            <v>2002</v>
          </cell>
        </row>
        <row r="13">
          <cell r="M13">
            <v>1991</v>
          </cell>
          <cell r="N13">
            <v>2003</v>
          </cell>
        </row>
        <row r="14">
          <cell r="M14">
            <v>1992</v>
          </cell>
          <cell r="N14">
            <v>2004</v>
          </cell>
        </row>
        <row r="15">
          <cell r="M15">
            <v>1993</v>
          </cell>
          <cell r="N15">
            <v>2005</v>
          </cell>
        </row>
        <row r="16">
          <cell r="M16">
            <v>1994</v>
          </cell>
          <cell r="N16">
            <v>2006</v>
          </cell>
        </row>
        <row r="17">
          <cell r="M17">
            <v>1995</v>
          </cell>
          <cell r="N17">
            <v>2007</v>
          </cell>
        </row>
        <row r="18">
          <cell r="M18">
            <v>1996</v>
          </cell>
          <cell r="N18">
            <v>2008</v>
          </cell>
        </row>
        <row r="19">
          <cell r="M19">
            <v>1997</v>
          </cell>
          <cell r="N19">
            <v>2009</v>
          </cell>
        </row>
        <row r="20">
          <cell r="M20">
            <v>1998</v>
          </cell>
          <cell r="N20">
            <v>2010</v>
          </cell>
        </row>
        <row r="21">
          <cell r="M21">
            <v>1999</v>
          </cell>
        </row>
        <row r="22">
          <cell r="M22">
            <v>2000</v>
          </cell>
        </row>
        <row r="23">
          <cell r="M23">
            <v>2001</v>
          </cell>
        </row>
        <row r="24">
          <cell r="M24">
            <v>2002</v>
          </cell>
        </row>
        <row r="25">
          <cell r="M25">
            <v>2003</v>
          </cell>
        </row>
        <row r="26">
          <cell r="M26">
            <v>2004</v>
          </cell>
        </row>
        <row r="27">
          <cell r="M27">
            <v>2005</v>
          </cell>
        </row>
        <row r="28">
          <cell r="M28">
            <v>2006</v>
          </cell>
        </row>
        <row r="29">
          <cell r="M29">
            <v>2007</v>
          </cell>
        </row>
        <row r="30">
          <cell r="M30">
            <v>2008</v>
          </cell>
        </row>
        <row r="31">
          <cell r="M31">
            <v>2009</v>
          </cell>
        </row>
        <row r="32">
          <cell r="M32">
            <v>2010</v>
          </cell>
        </row>
        <row r="33">
          <cell r="M33">
            <v>2011</v>
          </cell>
        </row>
        <row r="34">
          <cell r="M34">
            <v>2012</v>
          </cell>
        </row>
        <row r="35">
          <cell r="M35">
            <v>2013</v>
          </cell>
        </row>
        <row r="36">
          <cell r="M36">
            <v>2014</v>
          </cell>
        </row>
        <row r="37">
          <cell r="M37">
            <v>2015</v>
          </cell>
        </row>
        <row r="38">
          <cell r="M38">
            <v>2016</v>
          </cell>
        </row>
        <row r="39">
          <cell r="M39">
            <v>2017</v>
          </cell>
        </row>
        <row r="40">
          <cell r="M40">
            <v>2018</v>
          </cell>
        </row>
        <row r="41">
          <cell r="M41">
            <v>2019</v>
          </cell>
        </row>
        <row r="42">
          <cell r="M42">
            <v>2020</v>
          </cell>
        </row>
        <row r="43">
          <cell r="M43">
            <v>2021</v>
          </cell>
        </row>
        <row r="44">
          <cell r="M44">
            <v>2022</v>
          </cell>
        </row>
        <row r="45">
          <cell r="M45">
            <v>2023</v>
          </cell>
        </row>
        <row r="46">
          <cell r="M46">
            <v>2024</v>
          </cell>
        </row>
        <row r="47">
          <cell r="M47">
            <v>2025</v>
          </cell>
        </row>
        <row r="48">
          <cell r="M48">
            <v>2026</v>
          </cell>
        </row>
        <row r="49">
          <cell r="M49">
            <v>2027</v>
          </cell>
        </row>
        <row r="50">
          <cell r="M50">
            <v>2028</v>
          </cell>
        </row>
        <row r="51">
          <cell r="M51">
            <v>2029</v>
          </cell>
        </row>
        <row r="52">
          <cell r="M52">
            <v>2030</v>
          </cell>
        </row>
        <row r="53">
          <cell r="M53">
            <v>2031</v>
          </cell>
        </row>
        <row r="54">
          <cell r="M54">
            <v>2032</v>
          </cell>
        </row>
        <row r="55">
          <cell r="M55">
            <v>2033</v>
          </cell>
        </row>
        <row r="56">
          <cell r="M56">
            <v>2034</v>
          </cell>
        </row>
        <row r="57">
          <cell r="M57">
            <v>2035</v>
          </cell>
        </row>
        <row r="58">
          <cell r="M58">
            <v>2036</v>
          </cell>
        </row>
        <row r="59">
          <cell r="M59">
            <v>2037</v>
          </cell>
        </row>
        <row r="60">
          <cell r="M60">
            <v>2038</v>
          </cell>
        </row>
        <row r="61">
          <cell r="M61">
            <v>2039</v>
          </cell>
        </row>
        <row r="62">
          <cell r="M62">
            <v>2040</v>
          </cell>
        </row>
      </sheetData>
      <sheetData sheetId="4">
        <row r="14">
          <cell r="A14" t="str">
            <v>Spring 2016 release v1.6</v>
          </cell>
          <cell r="C14">
            <v>42552</v>
          </cell>
        </row>
      </sheetData>
      <sheetData sheetId="5"/>
      <sheetData sheetId="6"/>
      <sheetData sheetId="7"/>
      <sheetData sheetId="8">
        <row r="29">
          <cell r="B29">
            <v>1990</v>
          </cell>
          <cell r="D29">
            <v>58.059199999999997</v>
          </cell>
          <cell r="E29">
            <v>1119587</v>
          </cell>
          <cell r="G29">
            <v>100</v>
          </cell>
          <cell r="H29">
            <v>57237.5</v>
          </cell>
          <cell r="J29">
            <v>100</v>
          </cell>
          <cell r="N29">
            <v>19560.375627866346</v>
          </cell>
          <cell r="P29">
            <v>100</v>
          </cell>
        </row>
        <row r="30">
          <cell r="B30">
            <v>1991</v>
          </cell>
          <cell r="D30">
            <v>61.828200000000002</v>
          </cell>
          <cell r="E30">
            <v>1107059</v>
          </cell>
          <cell r="F30">
            <v>-1.1189840539413194</v>
          </cell>
          <cell r="G30">
            <v>98.881015946058682</v>
          </cell>
          <cell r="H30">
            <v>57438.7</v>
          </cell>
          <cell r="I30">
            <v>0.35151779864598748</v>
          </cell>
          <cell r="J30">
            <v>100.35151779864599</v>
          </cell>
          <cell r="N30">
            <v>19273.747490803238</v>
          </cell>
          <cell r="O30">
            <v>-1.4653508834194806</v>
          </cell>
          <cell r="P30">
            <v>98.534649116580525</v>
          </cell>
        </row>
        <row r="31">
          <cell r="B31">
            <v>1992</v>
          </cell>
          <cell r="D31">
            <v>63.6706</v>
          </cell>
          <cell r="E31">
            <v>1111043</v>
          </cell>
          <cell r="F31">
            <v>0.35987241872384396</v>
          </cell>
          <cell r="G31">
            <v>99.236861449802475</v>
          </cell>
          <cell r="H31">
            <v>57584.5</v>
          </cell>
          <cell r="I31">
            <v>0.25383582845712549</v>
          </cell>
          <cell r="J31">
            <v>100.60624590521948</v>
          </cell>
          <cell r="N31">
            <v>19294.132969809583</v>
          </cell>
          <cell r="O31">
            <v>0.10576811290110566</v>
          </cell>
          <cell r="P31">
            <v>98.638867355504857</v>
          </cell>
        </row>
        <row r="32">
          <cell r="B32">
            <v>1993</v>
          </cell>
          <cell r="D32">
            <v>65.2971</v>
          </cell>
          <cell r="E32">
            <v>1138897</v>
          </cell>
          <cell r="F32">
            <v>2.5070136799385803</v>
          </cell>
          <cell r="G32">
            <v>101.72474314189073</v>
          </cell>
          <cell r="H32">
            <v>57713.9</v>
          </cell>
          <cell r="I32">
            <v>0.22471324748847599</v>
          </cell>
          <cell r="J32">
            <v>100.83232146756934</v>
          </cell>
          <cell r="N32">
            <v>19733.495743659674</v>
          </cell>
          <cell r="O32">
            <v>2.2771832999056274</v>
          </cell>
          <cell r="P32">
            <v>100.88505517014048</v>
          </cell>
        </row>
        <row r="33">
          <cell r="B33">
            <v>1994</v>
          </cell>
          <cell r="D33">
            <v>66.058099999999996</v>
          </cell>
          <cell r="E33">
            <v>1183144</v>
          </cell>
          <cell r="F33">
            <v>3.8850747697113963</v>
          </cell>
          <cell r="G33">
            <v>105.67682547225004</v>
          </cell>
          <cell r="H33">
            <v>57862.1</v>
          </cell>
          <cell r="I33">
            <v>0.25678389434780374</v>
          </cell>
          <cell r="J33">
            <v>101.09124262939507</v>
          </cell>
          <cell r="N33">
            <v>20447.650534633205</v>
          </cell>
          <cell r="O33">
            <v>3.6189978716922866</v>
          </cell>
          <cell r="P33">
            <v>104.53608316960344</v>
          </cell>
        </row>
        <row r="34">
          <cell r="B34">
            <v>1995</v>
          </cell>
          <cell r="D34">
            <v>67.6387</v>
          </cell>
          <cell r="E34">
            <v>1212798</v>
          </cell>
          <cell r="F34">
            <v>2.506372850642018</v>
          </cell>
          <cell r="G34">
            <v>108.32548073530688</v>
          </cell>
          <cell r="H34">
            <v>58024.800000000003</v>
          </cell>
          <cell r="I34">
            <v>0.2811857848228882</v>
          </cell>
          <cell r="J34">
            <v>101.37549683336974</v>
          </cell>
          <cell r="N34">
            <v>20901.37320593953</v>
          </cell>
          <cell r="O34">
            <v>2.2189477003132119</v>
          </cell>
          <cell r="P34">
            <v>106.85568418309285</v>
          </cell>
        </row>
        <row r="35">
          <cell r="B35">
            <v>1996</v>
          </cell>
          <cell r="D35">
            <v>70.395099999999999</v>
          </cell>
          <cell r="E35">
            <v>1243709</v>
          </cell>
          <cell r="F35">
            <v>2.5487344141398651</v>
          </cell>
          <cell r="G35">
            <v>111.0864095420901</v>
          </cell>
          <cell r="H35">
            <v>58164.4</v>
          </cell>
          <cell r="I35">
            <v>0.24058678358218991</v>
          </cell>
          <cell r="J35">
            <v>101.6193928805416</v>
          </cell>
          <cell r="K35">
            <v>23738</v>
          </cell>
          <cell r="M35">
            <v>100</v>
          </cell>
          <cell r="N35">
            <v>21382.649868304325</v>
          </cell>
          <cell r="O35">
            <v>2.3026078603679112</v>
          </cell>
          <cell r="P35">
            <v>109.31615156634265</v>
          </cell>
          <cell r="Q35">
            <v>52393.167073889963</v>
          </cell>
          <cell r="S35">
            <v>100</v>
          </cell>
        </row>
        <row r="36">
          <cell r="B36">
            <v>1997</v>
          </cell>
          <cell r="D36">
            <v>71.773799999999994</v>
          </cell>
          <cell r="E36">
            <v>1282602</v>
          </cell>
          <cell r="F36">
            <v>3.127178463772474</v>
          </cell>
          <cell r="G36">
            <v>114.56027981746844</v>
          </cell>
          <cell r="H36">
            <v>58314.2</v>
          </cell>
          <cell r="I36">
            <v>0.2575458527896714</v>
          </cell>
          <cell r="J36">
            <v>101.88110941253548</v>
          </cell>
          <cell r="K36">
            <v>23865</v>
          </cell>
          <cell r="L36">
            <v>0.53500716151318561</v>
          </cell>
          <cell r="M36">
            <v>100.53500716151319</v>
          </cell>
          <cell r="N36">
            <v>21994.677111235342</v>
          </cell>
          <cell r="O36">
            <v>2.8622609765416973</v>
          </cell>
          <cell r="P36">
            <v>112.44506511368326</v>
          </cell>
          <cell r="Q36">
            <v>53744.060339409174</v>
          </cell>
          <cell r="R36">
            <v>2.5783768017192843</v>
          </cell>
          <cell r="S36">
            <v>102.57837680171927</v>
          </cell>
        </row>
        <row r="37">
          <cell r="B37">
            <v>1998</v>
          </cell>
          <cell r="D37">
            <v>72.623400000000004</v>
          </cell>
          <cell r="E37">
            <v>1323527</v>
          </cell>
          <cell r="F37">
            <v>3.1907793688143324</v>
          </cell>
          <cell r="G37">
            <v>118.21564559074018</v>
          </cell>
          <cell r="H37">
            <v>58474.9</v>
          </cell>
          <cell r="I37">
            <v>0.27557610324758697</v>
          </cell>
          <cell r="J37">
            <v>102.16186940379995</v>
          </cell>
          <cell r="K37">
            <v>24036</v>
          </cell>
          <cell r="L37">
            <v>0.71653048397234442</v>
          </cell>
          <cell r="M37">
            <v>101.25537113488922</v>
          </cell>
          <cell r="N37">
            <v>22634.104547421201</v>
          </cell>
          <cell r="O37">
            <v>2.9071917398561187</v>
          </cell>
          <cell r="P37">
            <v>115.71405875854408</v>
          </cell>
          <cell r="Q37">
            <v>55064.361790647359</v>
          </cell>
          <cell r="R37">
            <v>2.4566462654665555</v>
          </cell>
          <cell r="S37">
            <v>105.09836466459492</v>
          </cell>
        </row>
        <row r="38">
          <cell r="B38">
            <v>1999</v>
          </cell>
          <cell r="D38">
            <v>73.255200000000002</v>
          </cell>
          <cell r="E38">
            <v>1366983</v>
          </cell>
          <cell r="F38">
            <v>3.2833482052122851</v>
          </cell>
          <cell r="G38">
            <v>122.09707686852387</v>
          </cell>
          <cell r="H38">
            <v>58684.4</v>
          </cell>
          <cell r="I38">
            <v>0.35827337883433746</v>
          </cell>
          <cell r="J38">
            <v>102.52788818519328</v>
          </cell>
          <cell r="K38">
            <v>24209</v>
          </cell>
          <cell r="L38">
            <v>0.71975370277916462</v>
          </cell>
          <cell r="M38">
            <v>101.98416041789537</v>
          </cell>
          <cell r="N38">
            <v>23293.805508789388</v>
          </cell>
          <cell r="O38">
            <v>2.9146324741322616</v>
          </cell>
          <cell r="P38">
            <v>119.0866982922571</v>
          </cell>
          <cell r="Q38">
            <v>56465.901111157007</v>
          </cell>
          <cell r="R38">
            <v>2.5452747928655706</v>
          </cell>
          <cell r="S38">
            <v>107.77340684811679</v>
          </cell>
        </row>
        <row r="39">
          <cell r="B39">
            <v>2000</v>
          </cell>
          <cell r="D39">
            <v>74.731499999999997</v>
          </cell>
          <cell r="E39">
            <v>1418176</v>
          </cell>
          <cell r="F39">
            <v>3.7449624464971403</v>
          </cell>
          <cell r="G39">
            <v>126.66956654552082</v>
          </cell>
          <cell r="H39">
            <v>58886.1</v>
          </cell>
          <cell r="I39">
            <v>0.34370292616095088</v>
          </cell>
          <cell r="J39">
            <v>102.88027953701682</v>
          </cell>
          <cell r="K39">
            <v>24396</v>
          </cell>
          <cell r="L39">
            <v>0.77244000165227811</v>
          </cell>
          <cell r="M39">
            <v>102.77192686831242</v>
          </cell>
          <cell r="N39">
            <v>24083.374514528896</v>
          </cell>
          <cell r="O39">
            <v>3.3896093338702471</v>
          </cell>
          <cell r="P39">
            <v>123.12327213296936</v>
          </cell>
          <cell r="Q39">
            <v>58131.496966715858</v>
          </cell>
          <cell r="R39">
            <v>2.9497374925089748</v>
          </cell>
          <cell r="S39">
            <v>110.95243943686992</v>
          </cell>
        </row>
        <row r="40">
          <cell r="B40">
            <v>2001</v>
          </cell>
          <cell r="D40">
            <v>75.420599999999993</v>
          </cell>
          <cell r="E40">
            <v>1456837</v>
          </cell>
          <cell r="F40">
            <v>2.7261073378762579</v>
          </cell>
          <cell r="G40">
            <v>130.12271489397432</v>
          </cell>
          <cell r="H40">
            <v>59113</v>
          </cell>
          <cell r="I40">
            <v>0.38532013497243228</v>
          </cell>
          <cell r="J40">
            <v>103.27669796898887</v>
          </cell>
          <cell r="K40">
            <v>24535</v>
          </cell>
          <cell r="L40">
            <v>0.56976553533366125</v>
          </cell>
          <cell r="M40">
            <v>103.35748588760639</v>
          </cell>
          <cell r="N40">
            <v>24644.951195168574</v>
          </cell>
          <cell r="O40">
            <v>2.3318022991374976</v>
          </cell>
          <cell r="P40">
            <v>125.99426342333925</v>
          </cell>
          <cell r="Q40">
            <v>59377.909109435503</v>
          </cell>
          <cell r="R40">
            <v>2.144125315460732</v>
          </cell>
          <cell r="S40">
            <v>113.33139877895708</v>
          </cell>
        </row>
        <row r="41">
          <cell r="B41">
            <v>2002</v>
          </cell>
          <cell r="D41">
            <v>77.075599999999994</v>
          </cell>
          <cell r="E41">
            <v>1491761</v>
          </cell>
          <cell r="F41">
            <v>2.3972482851547565</v>
          </cell>
          <cell r="G41">
            <v>133.24207944536695</v>
          </cell>
          <cell r="H41">
            <v>59365.7</v>
          </cell>
          <cell r="I41">
            <v>0.427486339722222</v>
          </cell>
          <cell r="J41">
            <v>103.71819174492248</v>
          </cell>
          <cell r="K41">
            <v>24792</v>
          </cell>
          <cell r="L41">
            <v>1.0474831872834724</v>
          </cell>
          <cell r="M41">
            <v>104.44013817507795</v>
          </cell>
          <cell r="N41">
            <v>25128.331679740997</v>
          </cell>
          <cell r="O41">
            <v>1.9613773252964872</v>
          </cell>
          <cell r="P41">
            <v>128.46548633729893</v>
          </cell>
          <cell r="Q41">
            <v>60171.063246208454</v>
          </cell>
          <cell r="R41">
            <v>1.3357730992365369</v>
          </cell>
          <cell r="S41">
            <v>114.84524911683488</v>
          </cell>
          <cell r="V41">
            <v>100</v>
          </cell>
          <cell r="W41">
            <v>100</v>
          </cell>
        </row>
        <row r="42">
          <cell r="B42">
            <v>2003</v>
          </cell>
          <cell r="D42">
            <v>78.927000000000007</v>
          </cell>
          <cell r="E42">
            <v>1543468</v>
          </cell>
          <cell r="F42">
            <v>3.4661718599695259</v>
          </cell>
          <cell r="G42">
            <v>137.8604789087405</v>
          </cell>
          <cell r="H42">
            <v>59636.7</v>
          </cell>
          <cell r="I42">
            <v>0.45649255378105541</v>
          </cell>
          <cell r="J42">
            <v>104.19165756715442</v>
          </cell>
          <cell r="K42">
            <v>24917</v>
          </cell>
          <cell r="L42">
            <v>0.50419490158115521</v>
          </cell>
          <cell r="M42">
            <v>104.96672002696101</v>
          </cell>
          <cell r="N42">
            <v>25881.17719457985</v>
          </cell>
          <cell r="O42">
            <v>2.9960027766022135</v>
          </cell>
          <cell r="P42">
            <v>132.31431587493992</v>
          </cell>
          <cell r="Q42">
            <v>61944.375326082591</v>
          </cell>
          <cell r="R42">
            <v>2.9471177409946758</v>
          </cell>
          <cell r="S42">
            <v>118.22987382824664</v>
          </cell>
          <cell r="T42">
            <v>2.9960027766022135</v>
          </cell>
          <cell r="U42">
            <v>2.9960027766022135</v>
          </cell>
          <cell r="V42">
            <v>102.99600277660221</v>
          </cell>
          <cell r="W42">
            <v>102.99600277660221</v>
          </cell>
        </row>
        <row r="43">
          <cell r="B43">
            <v>2004</v>
          </cell>
          <cell r="D43">
            <v>80.851100000000002</v>
          </cell>
          <cell r="E43">
            <v>1582486</v>
          </cell>
          <cell r="F43">
            <v>2.5279435660473686</v>
          </cell>
          <cell r="G43">
            <v>141.34551401543609</v>
          </cell>
          <cell r="H43">
            <v>59950.400000000001</v>
          </cell>
          <cell r="I43">
            <v>0.52601837459149203</v>
          </cell>
          <cell r="J43">
            <v>104.7397248307491</v>
          </cell>
          <cell r="K43">
            <v>24993</v>
          </cell>
          <cell r="L43">
            <v>0.30501264197134487</v>
          </cell>
          <cell r="M43">
            <v>105.28688179290592</v>
          </cell>
          <cell r="N43">
            <v>26396.587845952654</v>
          </cell>
          <cell r="O43">
            <v>1.9914497995892733</v>
          </cell>
          <cell r="P43">
            <v>134.94928905325932</v>
          </cell>
          <cell r="Q43">
            <v>63317.168807266033</v>
          </cell>
          <cell r="R43">
            <v>2.2161713213780798</v>
          </cell>
          <cell r="S43">
            <v>120.85005038532974</v>
          </cell>
          <cell r="T43">
            <v>1.9914497995892733</v>
          </cell>
          <cell r="U43">
            <v>1.9914497995892733</v>
          </cell>
          <cell r="V43">
            <v>105.04711646748181</v>
          </cell>
          <cell r="W43">
            <v>105.04711646748181</v>
          </cell>
        </row>
        <row r="44">
          <cell r="B44">
            <v>2005</v>
          </cell>
          <cell r="D44">
            <v>83.0017</v>
          </cell>
          <cell r="E44">
            <v>1629519</v>
          </cell>
          <cell r="F44">
            <v>2.972095803691154</v>
          </cell>
          <cell r="G44">
            <v>145.54643810619456</v>
          </cell>
          <cell r="H44">
            <v>60413.3</v>
          </cell>
          <cell r="I44">
            <v>0.77213830099549197</v>
          </cell>
          <cell r="J44">
            <v>105.54846036252461</v>
          </cell>
          <cell r="K44">
            <v>25217</v>
          </cell>
          <cell r="L44">
            <v>0.89625095026607449</v>
          </cell>
          <cell r="M44">
            <v>106.23051647148036</v>
          </cell>
          <cell r="N44">
            <v>26972.852004442728</v>
          </cell>
          <cell r="O44">
            <v>2.1831009441564353</v>
          </cell>
          <cell r="P44">
            <v>137.89536825671343</v>
          </cell>
          <cell r="Q44">
            <v>64619.85961851132</v>
          </cell>
          <cell r="R44">
            <v>2.0574053385276958</v>
          </cell>
          <cell r="S44">
            <v>123.33642577357094</v>
          </cell>
          <cell r="T44">
            <v>2.1831009441564353</v>
          </cell>
          <cell r="U44">
            <v>2.1831009441564353</v>
          </cell>
          <cell r="V44">
            <v>107.34040105889252</v>
          </cell>
          <cell r="W44">
            <v>107.34040105889252</v>
          </cell>
        </row>
        <row r="45">
          <cell r="B45">
            <v>2006</v>
          </cell>
          <cell r="D45">
            <v>85.451899999999995</v>
          </cell>
          <cell r="E45">
            <v>1670306</v>
          </cell>
          <cell r="F45">
            <v>2.5030085565126887</v>
          </cell>
          <cell r="G45">
            <v>149.18947790569203</v>
          </cell>
          <cell r="H45">
            <v>60827.1</v>
          </cell>
          <cell r="I45">
            <v>0.68494851299299264</v>
          </cell>
          <cell r="J45">
            <v>106.27141297226471</v>
          </cell>
          <cell r="K45">
            <v>25379</v>
          </cell>
          <cell r="L45">
            <v>0.64242376174802707</v>
          </cell>
          <cell r="M45">
            <v>106.91296655152078</v>
          </cell>
          <cell r="N45">
            <v>27459.898630709009</v>
          </cell>
          <cell r="O45">
            <v>1.8056919831320073</v>
          </cell>
          <cell r="P45">
            <v>140.38533386643527</v>
          </cell>
          <cell r="Q45">
            <v>65814.492296780809</v>
          </cell>
          <cell r="R45">
            <v>1.8487082536577715</v>
          </cell>
          <cell r="S45">
            <v>125.61655645661344</v>
          </cell>
          <cell r="T45">
            <v>1.8056919831320073</v>
          </cell>
          <cell r="U45">
            <v>1.8056919831320073</v>
          </cell>
          <cell r="V45">
            <v>109.27863807547469</v>
          </cell>
          <cell r="W45">
            <v>109.27863807547469</v>
          </cell>
        </row>
        <row r="46">
          <cell r="B46">
            <v>2007</v>
          </cell>
          <cell r="D46">
            <v>87.626999999999995</v>
          </cell>
          <cell r="E46">
            <v>1712996</v>
          </cell>
          <cell r="F46">
            <v>2.5558191133840147</v>
          </cell>
          <cell r="G46">
            <v>153.00249109716353</v>
          </cell>
          <cell r="H46">
            <v>61319.1</v>
          </cell>
          <cell r="I46">
            <v>0.80885000271260676</v>
          </cell>
          <cell r="J46">
            <v>107.1309892989736</v>
          </cell>
          <cell r="K46">
            <v>25609</v>
          </cell>
          <cell r="L46">
            <v>0.90626108199692668</v>
          </cell>
          <cell r="M46">
            <v>107.8818771589856</v>
          </cell>
          <cell r="N46">
            <v>27935.765528195945</v>
          </cell>
          <cell r="O46">
            <v>1.7329521273423909</v>
          </cell>
          <cell r="P46">
            <v>142.81814449615038</v>
          </cell>
          <cell r="Q46">
            <v>66890.390097231444</v>
          </cell>
          <cell r="R46">
            <v>1.6347429918611711</v>
          </cell>
          <cell r="S46">
            <v>127.67006430990527</v>
          </cell>
          <cell r="T46">
            <v>1.7329521273423909</v>
          </cell>
          <cell r="U46">
            <v>1.7329521273423909</v>
          </cell>
          <cell r="V46">
            <v>111.17238455873442</v>
          </cell>
          <cell r="W46">
            <v>111.17238455873442</v>
          </cell>
        </row>
        <row r="47">
          <cell r="B47">
            <v>2008</v>
          </cell>
          <cell r="D47">
            <v>90.119500000000002</v>
          </cell>
          <cell r="E47">
            <v>1702252</v>
          </cell>
          <cell r="F47">
            <v>-0.6272052007126695</v>
          </cell>
          <cell r="G47">
            <v>152.04285151578219</v>
          </cell>
          <cell r="H47">
            <v>61823.8</v>
          </cell>
          <cell r="I47">
            <v>0.82307144103550833</v>
          </cell>
          <cell r="J47">
            <v>108.01275387639225</v>
          </cell>
          <cell r="K47">
            <v>25875</v>
          </cell>
          <cell r="L47">
            <v>1.038697332968878</v>
          </cell>
          <cell r="M47">
            <v>109.00244333979275</v>
          </cell>
          <cell r="N47">
            <v>27533.927063687446</v>
          </cell>
          <cell r="O47">
            <v>-1.4384372753376562</v>
          </cell>
          <cell r="P47">
            <v>140.76379506977216</v>
          </cell>
          <cell r="Q47">
            <v>65787.516908212565</v>
          </cell>
          <cell r="R47">
            <v>-1.6487767337217685</v>
          </cell>
          <cell r="S47">
            <v>125.56506999363593</v>
          </cell>
          <cell r="T47">
            <v>-1.4384372753376562</v>
          </cell>
          <cell r="U47">
            <v>-1.4384372753376562</v>
          </cell>
          <cell r="V47">
            <v>109.57323953935985</v>
          </cell>
          <cell r="W47">
            <v>109.57323953935985</v>
          </cell>
        </row>
        <row r="48">
          <cell r="B48">
            <v>2009</v>
          </cell>
          <cell r="D48">
            <v>91.484999999999999</v>
          </cell>
          <cell r="E48">
            <v>1628583</v>
          </cell>
          <cell r="F48">
            <v>-4.3277376087676798</v>
          </cell>
          <cell r="G48">
            <v>145.46283584929088</v>
          </cell>
          <cell r="H48">
            <v>62260.5</v>
          </cell>
          <cell r="I48">
            <v>0.70636227472267488</v>
          </cell>
          <cell r="J48">
            <v>108.77571522166414</v>
          </cell>
          <cell r="K48">
            <v>26042</v>
          </cell>
          <cell r="L48">
            <v>0.6454106280193237</v>
          </cell>
          <cell r="M48">
            <v>109.7059566939085</v>
          </cell>
          <cell r="N48">
            <v>26157.563784421905</v>
          </cell>
          <cell r="O48">
            <v>-4.9987903145161212</v>
          </cell>
          <cell r="P48">
            <v>133.72730811547908</v>
          </cell>
          <cell r="Q48">
            <v>62536.786729129868</v>
          </cell>
          <cell r="R48">
            <v>-4.9412568399840096</v>
          </cell>
          <cell r="S48">
            <v>119.36057738394469</v>
          </cell>
          <cell r="T48">
            <v>-4.9987903145161212</v>
          </cell>
          <cell r="U48">
            <v>-4.9987903145161212</v>
          </cell>
          <cell r="V48">
            <v>104.09590305396476</v>
          </cell>
          <cell r="W48">
            <v>104.09590305396476</v>
          </cell>
        </row>
        <row r="49">
          <cell r="B49">
            <v>2010</v>
          </cell>
          <cell r="D49">
            <v>92.894999999999996</v>
          </cell>
          <cell r="E49">
            <v>1659772</v>
          </cell>
          <cell r="F49">
            <v>1.915100427795206</v>
          </cell>
          <cell r="G49">
            <v>148.24859524092369</v>
          </cell>
          <cell r="H49">
            <v>62759.5</v>
          </cell>
          <cell r="I49">
            <v>0.80147123778318508</v>
          </cell>
          <cell r="J49">
            <v>109.64752129285873</v>
          </cell>
          <cell r="K49">
            <v>26240</v>
          </cell>
          <cell r="L49">
            <v>0.76031026802856916</v>
          </cell>
          <cell r="M49">
            <v>110.54006234729128</v>
          </cell>
          <cell r="N49">
            <v>26446.545941251923</v>
          </cell>
          <cell r="O49">
            <v>1.1047747382427087</v>
          </cell>
          <cell r="P49">
            <v>135.2046936336709</v>
          </cell>
          <cell r="Q49">
            <v>63253.506097560974</v>
          </cell>
          <cell r="R49">
            <v>1.1460764230427856</v>
          </cell>
          <cell r="S49">
            <v>120.72854081974981</v>
          </cell>
          <cell r="T49">
            <v>1.1047747382427087</v>
          </cell>
          <cell r="U49">
            <v>1.1047747382427087</v>
          </cell>
          <cell r="V49">
            <v>105.24592829445058</v>
          </cell>
          <cell r="W49">
            <v>105.24592829445058</v>
          </cell>
        </row>
        <row r="50">
          <cell r="B50">
            <v>2011</v>
          </cell>
          <cell r="D50">
            <v>94.764399999999995</v>
          </cell>
          <cell r="E50">
            <v>1684820</v>
          </cell>
          <cell r="F50">
            <v>1.5091229397772707</v>
          </cell>
          <cell r="G50">
            <v>150.48584879960202</v>
          </cell>
          <cell r="H50">
            <v>63285.1</v>
          </cell>
          <cell r="I50">
            <v>0.83748277153259443</v>
          </cell>
          <cell r="J50">
            <v>110.56580039309894</v>
          </cell>
          <cell r="K50">
            <v>26409</v>
          </cell>
          <cell r="L50">
            <v>0.64405487804878048</v>
          </cell>
          <cell r="M50">
            <v>111.25200101103718</v>
          </cell>
          <cell r="N50">
            <v>26622.696337684542</v>
          </cell>
          <cell r="O50">
            <v>0.66606201363277329</v>
          </cell>
          <cell r="P50">
            <v>136.10524073861333</v>
          </cell>
          <cell r="Q50">
            <v>63797.190351774014</v>
          </cell>
          <cell r="R50">
            <v>0.85953220264893826</v>
          </cell>
          <cell r="S50">
            <v>121.76624150588371</v>
          </cell>
          <cell r="T50">
            <v>0.66606201363277329</v>
          </cell>
          <cell r="U50">
            <v>0.66606201363277329</v>
          </cell>
          <cell r="V50">
            <v>105.9469314437151</v>
          </cell>
          <cell r="W50">
            <v>105.9469314437151</v>
          </cell>
        </row>
        <row r="51">
          <cell r="B51">
            <v>2012</v>
          </cell>
          <cell r="D51">
            <v>96.219499999999996</v>
          </cell>
          <cell r="E51">
            <v>1706942</v>
          </cell>
          <cell r="F51">
            <v>1.3130186013936207</v>
          </cell>
          <cell r="G51">
            <v>152.46175598680588</v>
          </cell>
          <cell r="H51">
            <v>63705</v>
          </cell>
          <cell r="I51">
            <v>0.66350531167684246</v>
          </cell>
          <cell r="J51">
            <v>111.29941035160516</v>
          </cell>
          <cell r="K51">
            <v>26614</v>
          </cell>
          <cell r="L51">
            <v>0.776250520655837</v>
          </cell>
          <cell r="M51">
            <v>112.11559524812539</v>
          </cell>
          <cell r="N51">
            <v>26794.47453104152</v>
          </cell>
          <cell r="O51">
            <v>0.64523214019394093</v>
          </cell>
          <cell r="P51">
            <v>136.9834354963472</v>
          </cell>
          <cell r="Q51">
            <v>64136.995566243328</v>
          </cell>
          <cell r="R51">
            <v>0.53263351034058548</v>
          </cell>
          <cell r="S51">
            <v>122.4148093124263</v>
          </cell>
          <cell r="T51">
            <v>0.64523214019394093</v>
          </cell>
          <cell r="U51">
            <v>0.64523214019394093</v>
          </cell>
          <cell r="V51">
            <v>106.6305350969392</v>
          </cell>
          <cell r="W51">
            <v>106.6305350969392</v>
          </cell>
        </row>
        <row r="52">
          <cell r="B52">
            <v>2013</v>
          </cell>
          <cell r="D52">
            <v>98.053200000000004</v>
          </cell>
          <cell r="E52">
            <v>1739563</v>
          </cell>
          <cell r="F52">
            <v>1.9110784080537007</v>
          </cell>
          <cell r="G52">
            <v>155.37541968600925</v>
          </cell>
          <cell r="H52">
            <v>64105.7</v>
          </cell>
          <cell r="I52">
            <v>0.6289930146770224</v>
          </cell>
          <cell r="J52">
            <v>111.99947586809347</v>
          </cell>
          <cell r="K52">
            <v>26654</v>
          </cell>
          <cell r="L52">
            <v>0.1502968362515969</v>
          </cell>
          <cell r="M52">
            <v>112.28410144072797</v>
          </cell>
          <cell r="N52">
            <v>27135.855313958044</v>
          </cell>
          <cell r="O52">
            <v>1.2740715721856422</v>
          </cell>
          <cell r="P52">
            <v>138.72870250660944</v>
          </cell>
          <cell r="Q52">
            <v>65264.613191265853</v>
          </cell>
          <cell r="R52">
            <v>1.7581391442913263</v>
          </cell>
          <cell r="S52">
            <v>124.56703199335765</v>
          </cell>
          <cell r="T52">
            <v>1.2740715721856422</v>
          </cell>
          <cell r="U52">
            <v>1.2740715721856422</v>
          </cell>
          <cell r="V52">
            <v>107.98908443187874</v>
          </cell>
          <cell r="W52">
            <v>107.98908443187874</v>
          </cell>
        </row>
        <row r="53">
          <cell r="B53">
            <v>2014</v>
          </cell>
          <cell r="D53">
            <v>99.666700000000006</v>
          </cell>
          <cell r="E53">
            <v>1792976</v>
          </cell>
          <cell r="F53">
            <v>3.0704837939183576</v>
          </cell>
          <cell r="G53">
            <v>160.14619676720079</v>
          </cell>
          <cell r="H53">
            <v>64596.800000000003</v>
          </cell>
          <cell r="I53">
            <v>0.76607852343864247</v>
          </cell>
          <cell r="J53">
            <v>112.85747979908278</v>
          </cell>
          <cell r="K53">
            <v>26703</v>
          </cell>
          <cell r="L53">
            <v>0.18383732272829595</v>
          </cell>
          <cell r="M53">
            <v>112.49052152666613</v>
          </cell>
          <cell r="N53">
            <v>27756.421370718053</v>
          </cell>
          <cell r="O53">
            <v>2.2868859285257281</v>
          </cell>
          <cell r="P53">
            <v>141.90126968305941</v>
          </cell>
          <cell r="Q53">
            <v>67145.114781110737</v>
          </cell>
          <cell r="R53">
            <v>2.8813494754559299</v>
          </cell>
          <cell r="S53">
            <v>128.15624351628929</v>
          </cell>
          <cell r="T53">
            <v>2.2868859285257281</v>
          </cell>
          <cell r="U53">
            <v>2.2868859285257281</v>
          </cell>
          <cell r="V53">
            <v>110.45867160809514</v>
          </cell>
          <cell r="W53">
            <v>110.45867160809514</v>
          </cell>
        </row>
        <row r="54">
          <cell r="B54">
            <v>2015</v>
          </cell>
          <cell r="D54">
            <v>100</v>
          </cell>
          <cell r="E54">
            <v>1833233</v>
          </cell>
          <cell r="F54">
            <v>2.2452615093565114</v>
          </cell>
          <cell r="G54">
            <v>163.74189768191309</v>
          </cell>
          <cell r="H54">
            <v>65110</v>
          </cell>
          <cell r="I54">
            <v>0.79446659896464999</v>
          </cell>
          <cell r="J54">
            <v>113.75409478051978</v>
          </cell>
          <cell r="K54">
            <v>26994</v>
          </cell>
          <cell r="L54">
            <v>1.0897651949219189</v>
          </cell>
          <cell r="M54">
            <v>113.71640407784989</v>
          </cell>
          <cell r="N54">
            <v>28155.936108124712</v>
          </cell>
          <cell r="O54">
            <v>1.4393596785071461</v>
          </cell>
          <cell r="P54">
            <v>143.94373934216705</v>
          </cell>
          <cell r="Q54">
            <v>67912.610209676219</v>
          </cell>
          <cell r="R54">
            <v>1.1430398638344386</v>
          </cell>
          <cell r="S54">
            <v>129.62112046767322</v>
          </cell>
          <cell r="T54">
            <v>1.4393596785071461</v>
          </cell>
          <cell r="U54">
            <v>1.4393596785071461</v>
          </cell>
          <cell r="V54">
            <v>112.04856918863669</v>
          </cell>
          <cell r="W54">
            <v>112.04856918863669</v>
          </cell>
        </row>
        <row r="55">
          <cell r="B55">
            <v>2016</v>
          </cell>
          <cell r="D55">
            <v>101.1</v>
          </cell>
          <cell r="F55">
            <v>2</v>
          </cell>
          <cell r="G55">
            <v>167.01673563555133</v>
          </cell>
          <cell r="I55">
            <v>0.73015852000000003</v>
          </cell>
          <cell r="J55">
            <v>114.58467999540862</v>
          </cell>
          <cell r="L55">
            <v>0.97347306822808122</v>
          </cell>
          <cell r="M55">
            <v>114.82340264570519</v>
          </cell>
          <cell r="N55" t="str">
            <v>-</v>
          </cell>
          <cell r="O55">
            <v>1.2606368327593431</v>
          </cell>
          <cell r="P55">
            <v>145.75834713876552</v>
          </cell>
          <cell r="Q55" t="str">
            <v>-</v>
          </cell>
          <cell r="R55">
            <v>1.0166303095054285</v>
          </cell>
          <cell r="S55">
            <v>130.93888806586813</v>
          </cell>
          <cell r="T55">
            <v>1.2606368327593431</v>
          </cell>
          <cell r="U55">
            <v>1.2606368327593431</v>
          </cell>
          <cell r="V55">
            <v>113.46109472240848</v>
          </cell>
          <cell r="W55">
            <v>113.46109472240848</v>
          </cell>
        </row>
        <row r="56">
          <cell r="B56">
            <v>2017</v>
          </cell>
          <cell r="D56">
            <v>103.02089999999998</v>
          </cell>
          <cell r="F56">
            <v>2.2000000000000002</v>
          </cell>
          <cell r="G56">
            <v>170.69110381953345</v>
          </cell>
          <cell r="I56">
            <v>0.69773096000000001</v>
          </cell>
          <cell r="J56">
            <v>115.38417278315352</v>
          </cell>
          <cell r="L56">
            <v>0.94183087361532358</v>
          </cell>
          <cell r="M56">
            <v>115.90484490195806</v>
          </cell>
          <cell r="N56" t="str">
            <v>-</v>
          </cell>
          <cell r="O56">
            <v>1.4918598717946763</v>
          </cell>
          <cell r="P56">
            <v>147.93285742951994</v>
          </cell>
          <cell r="Q56" t="str">
            <v>-</v>
          </cell>
          <cell r="R56">
            <v>1.2464298650972427</v>
          </cell>
          <cell r="S56">
            <v>132.57094947174735</v>
          </cell>
          <cell r="T56">
            <v>1.4918598717946763</v>
          </cell>
          <cell r="U56">
            <v>1.4918598717946763</v>
          </cell>
          <cell r="V56">
            <v>115.15377526467104</v>
          </cell>
          <cell r="W56">
            <v>115.15377526467104</v>
          </cell>
        </row>
        <row r="57">
          <cell r="B57">
            <v>2018</v>
          </cell>
          <cell r="D57">
            <v>105.08131799999998</v>
          </cell>
          <cell r="F57">
            <v>2.1</v>
          </cell>
          <cell r="G57">
            <v>174.27561699974365</v>
          </cell>
          <cell r="I57">
            <v>0.69195593</v>
          </cell>
          <cell r="J57">
            <v>116.18258040900801</v>
          </cell>
          <cell r="L57">
            <v>0.92691736200709585</v>
          </cell>
          <cell r="M57">
            <v>116.97918703276169</v>
          </cell>
          <cell r="N57" t="str">
            <v>-</v>
          </cell>
          <cell r="O57">
            <v>1.3983679798402537</v>
          </cell>
          <cell r="P57">
            <v>150.00150313947708</v>
          </cell>
          <cell r="Q57" t="str">
            <v>-</v>
          </cell>
          <cell r="R57">
            <v>1.1623089941261711</v>
          </cell>
          <cell r="S57">
            <v>134.11183354105594</v>
          </cell>
          <cell r="T57">
            <v>1.3983679798402537</v>
          </cell>
          <cell r="U57">
            <v>1.3983679798402537</v>
          </cell>
          <cell r="V57">
            <v>116.76404878554941</v>
          </cell>
          <cell r="W57">
            <v>116.76404878554941</v>
          </cell>
        </row>
        <row r="58">
          <cell r="B58">
            <v>2019</v>
          </cell>
          <cell r="D58">
            <v>107.07786304199998</v>
          </cell>
          <cell r="F58">
            <v>2.1</v>
          </cell>
          <cell r="G58">
            <v>177.93540495673824</v>
          </cell>
          <cell r="I58">
            <v>0.66319755000000002</v>
          </cell>
          <cell r="J58">
            <v>116.95310043580734</v>
          </cell>
          <cell r="L58">
            <v>0.91806475717624014</v>
          </cell>
          <cell r="M58">
            <v>118.05313172214075</v>
          </cell>
          <cell r="N58" t="str">
            <v>-</v>
          </cell>
          <cell r="O58">
            <v>1.4273363900310532</v>
          </cell>
          <cell r="P58">
            <v>152.1425291793804</v>
          </cell>
          <cell r="Q58" t="str">
            <v>-</v>
          </cell>
          <cell r="R58">
            <v>1.171183024236222</v>
          </cell>
          <cell r="S58">
            <v>135.68252856898073</v>
          </cell>
          <cell r="T58">
            <v>1.4273363900310532</v>
          </cell>
          <cell r="U58">
            <v>1.4273363900310532</v>
          </cell>
          <cell r="V58">
            <v>118.43066454433917</v>
          </cell>
          <cell r="W58">
            <v>118.43066454433917</v>
          </cell>
        </row>
        <row r="59">
          <cell r="B59">
            <v>2020</v>
          </cell>
          <cell r="D59">
            <v>109.21942030283998</v>
          </cell>
          <cell r="F59">
            <v>2.1</v>
          </cell>
          <cell r="G59">
            <v>181.67204846082973</v>
          </cell>
          <cell r="I59">
            <v>0.64528525999999997</v>
          </cell>
          <cell r="J59">
            <v>117.70778155403259</v>
          </cell>
          <cell r="L59">
            <v>0.89606060947187149</v>
          </cell>
          <cell r="M59">
            <v>119.1109593337508</v>
          </cell>
          <cell r="N59" t="str">
            <v>-</v>
          </cell>
          <cell r="O59">
            <v>1.4453878651563112</v>
          </cell>
          <cell r="P59">
            <v>154.34157883388107</v>
          </cell>
          <cell r="Q59" t="str">
            <v>-</v>
          </cell>
          <cell r="R59">
            <v>1.1932471726404437</v>
          </cell>
          <cell r="S59">
            <v>137.30155650489715</v>
          </cell>
          <cell r="T59">
            <v>1.4453878651563112</v>
          </cell>
          <cell r="U59">
            <v>1.4453878651563112</v>
          </cell>
          <cell r="V59">
            <v>120.14244699828703</v>
          </cell>
          <cell r="W59">
            <v>120.14244699828703</v>
          </cell>
        </row>
        <row r="60">
          <cell r="B60">
            <v>2021</v>
          </cell>
          <cell r="D60">
            <v>111.48572327412391</v>
          </cell>
          <cell r="F60">
            <v>2.4</v>
          </cell>
          <cell r="G60">
            <v>186.03217762388965</v>
          </cell>
          <cell r="I60">
            <v>0.63189705860819956</v>
          </cell>
          <cell r="J60">
            <v>118.4515735634255</v>
          </cell>
          <cell r="L60">
            <v>0.88887776644679395</v>
          </cell>
          <cell r="M60">
            <v>120.16971016866999</v>
          </cell>
          <cell r="N60" t="str">
            <v>-</v>
          </cell>
          <cell r="O60">
            <v>1.7570005068691552</v>
          </cell>
          <cell r="P60">
            <v>157.05336115630223</v>
          </cell>
          <cell r="Q60" t="str">
            <v>-</v>
          </cell>
          <cell r="R60">
            <v>1.4978085464003144</v>
          </cell>
          <cell r="S60">
            <v>139.35807095256814</v>
          </cell>
          <cell r="T60">
            <v>1.7570005068691552</v>
          </cell>
          <cell r="U60">
            <v>1.7570005068691552</v>
          </cell>
          <cell r="V60">
            <v>122.25335040101194</v>
          </cell>
          <cell r="W60">
            <v>122.25335040101194</v>
          </cell>
        </row>
        <row r="61">
          <cell r="B61">
            <v>2022</v>
          </cell>
          <cell r="D61">
            <v>113.88266632451759</v>
          </cell>
          <cell r="F61">
            <v>2.4</v>
          </cell>
          <cell r="G61">
            <v>190.49694988686301</v>
          </cell>
          <cell r="I61">
            <v>0.62027707990350844</v>
          </cell>
          <cell r="J61">
            <v>119.18630152502446</v>
          </cell>
          <cell r="L61">
            <v>0.85967613754045491</v>
          </cell>
          <cell r="M61">
            <v>121.20278049154157</v>
          </cell>
          <cell r="N61" t="str">
            <v>-</v>
          </cell>
          <cell r="O61">
            <v>1.7687517583391266</v>
          </cell>
          <cell r="P61">
            <v>159.83124524328503</v>
          </cell>
          <cell r="Q61" t="str">
            <v>-</v>
          </cell>
          <cell r="R61">
            <v>1.5271949320549316</v>
          </cell>
          <cell r="S61">
            <v>141.48634034956527</v>
          </cell>
          <cell r="T61">
            <v>1.7687517583391266</v>
          </cell>
          <cell r="U61">
            <v>1.7687517583391266</v>
          </cell>
          <cell r="V61">
            <v>124.41570868585833</v>
          </cell>
          <cell r="W61">
            <v>124.41570868585833</v>
          </cell>
        </row>
        <row r="62">
          <cell r="B62">
            <v>2023</v>
          </cell>
          <cell r="D62">
            <v>116.41655565023811</v>
          </cell>
          <cell r="F62">
            <v>2.4</v>
          </cell>
          <cell r="G62">
            <v>195.06887668414774</v>
          </cell>
          <cell r="I62">
            <v>0.60745366598906614</v>
          </cell>
          <cell r="J62">
            <v>119.91030308299501</v>
          </cell>
          <cell r="L62">
            <v>0.84332080461051451</v>
          </cell>
          <cell r="M62">
            <v>122.22490875519316</v>
          </cell>
          <cell r="N62" t="str">
            <v>-</v>
          </cell>
          <cell r="O62">
            <v>1.7817231911684051</v>
          </cell>
          <cell r="P62">
            <v>162.6789956065179</v>
          </cell>
          <cell r="Q62" t="str">
            <v>-</v>
          </cell>
          <cell r="R62">
            <v>1.5436611795099919</v>
          </cell>
          <cell r="S62">
            <v>143.67041005985089</v>
          </cell>
          <cell r="T62">
            <v>1.7817231911684051</v>
          </cell>
          <cell r="U62">
            <v>1.7817231911684051</v>
          </cell>
          <cell r="V62">
            <v>126.63245222097079</v>
          </cell>
          <cell r="W62">
            <v>126.63245222097079</v>
          </cell>
        </row>
        <row r="63">
          <cell r="B63">
            <v>2024</v>
          </cell>
          <cell r="D63">
            <v>119.09413643019357</v>
          </cell>
          <cell r="F63">
            <v>2.5</v>
          </cell>
          <cell r="G63">
            <v>199.94559860125145</v>
          </cell>
          <cell r="I63">
            <v>0.59340746119034282</v>
          </cell>
          <cell r="J63">
            <v>120.62185976822546</v>
          </cell>
          <cell r="L63">
            <v>0.84044819703699147</v>
          </cell>
          <cell r="M63">
            <v>123.25214579715629</v>
          </cell>
          <cell r="N63" t="str">
            <v>-</v>
          </cell>
          <cell r="O63">
            <v>1.8953454176857898</v>
          </cell>
          <cell r="P63">
            <v>165.76232449528331</v>
          </cell>
          <cell r="Q63" t="str">
            <v>-</v>
          </cell>
          <cell r="R63">
            <v>1.6457203757368477</v>
          </cell>
          <cell r="S63">
            <v>146.03482327211054</v>
          </cell>
          <cell r="T63">
            <v>1.8953454176857898</v>
          </cell>
          <cell r="U63">
            <v>1.8953454176857898</v>
          </cell>
          <cell r="V63">
            <v>129.03257460144411</v>
          </cell>
          <cell r="W63">
            <v>129.03257460144411</v>
          </cell>
        </row>
        <row r="64">
          <cell r="B64">
            <v>2025</v>
          </cell>
          <cell r="D64">
            <v>121.83330156808802</v>
          </cell>
          <cell r="F64">
            <v>2.5</v>
          </cell>
          <cell r="G64">
            <v>204.94423856628273</v>
          </cell>
          <cell r="I64">
            <v>0.57841356454293447</v>
          </cell>
          <cell r="J64">
            <v>121.31955296692882</v>
          </cell>
          <cell r="L64">
            <v>0.8202259498464759</v>
          </cell>
          <cell r="M64">
            <v>124.26309188072717</v>
          </cell>
          <cell r="N64" t="str">
            <v>-</v>
          </cell>
          <cell r="O64">
            <v>1.9105356381704741</v>
          </cell>
          <cell r="P64">
            <v>168.92927277942547</v>
          </cell>
          <cell r="Q64" t="str">
            <v>-</v>
          </cell>
          <cell r="R64">
            <v>1.6661081983580628</v>
          </cell>
          <cell r="S64">
            <v>148.4679214351049</v>
          </cell>
          <cell r="T64">
            <v>1.9105356381704741</v>
          </cell>
          <cell r="U64">
            <v>1.9105356381704741</v>
          </cell>
          <cell r="V64">
            <v>131.4977879240536</v>
          </cell>
          <cell r="W64">
            <v>131.4977879240536</v>
          </cell>
        </row>
        <row r="65">
          <cell r="B65">
            <v>2026</v>
          </cell>
          <cell r="D65">
            <v>124.63546750415404</v>
          </cell>
          <cell r="F65">
            <v>2.5</v>
          </cell>
          <cell r="G65">
            <v>210.0678445304398</v>
          </cell>
          <cell r="I65">
            <v>0.56250217711772965</v>
          </cell>
          <cell r="J65">
            <v>122.00197809363731</v>
          </cell>
          <cell r="L65">
            <v>0.82445747698192129</v>
          </cell>
          <cell r="M65">
            <v>125.28758823286675</v>
          </cell>
          <cell r="N65" t="str">
            <v>-</v>
          </cell>
          <cell r="O65">
            <v>1.9266603166554042</v>
          </cell>
          <cell r="P65">
            <v>172.1839660412812</v>
          </cell>
          <cell r="Q65" t="str">
            <v>-</v>
          </cell>
          <cell r="R65">
            <v>1.6618413477708094</v>
          </cell>
          <cell r="S65">
            <v>150.93522274168933</v>
          </cell>
          <cell r="T65">
            <v>1.9266603166554042</v>
          </cell>
          <cell r="U65">
            <v>1.9266603166554042</v>
          </cell>
          <cell r="V65">
            <v>134.03130362126603</v>
          </cell>
          <cell r="W65">
            <v>134.03130362126603</v>
          </cell>
        </row>
        <row r="66">
          <cell r="B66">
            <v>2027</v>
          </cell>
          <cell r="D66">
            <v>127.50208325674957</v>
          </cell>
          <cell r="F66">
            <v>2.5</v>
          </cell>
          <cell r="G66">
            <v>215.31954064370078</v>
          </cell>
          <cell r="I66">
            <v>0.54610959044296692</v>
          </cell>
          <cell r="J66">
            <v>122.66824259653679</v>
          </cell>
          <cell r="L66">
            <v>0.80557535814678172</v>
          </cell>
          <cell r="M66">
            <v>126.29687417048713</v>
          </cell>
          <cell r="N66" t="str">
            <v>-</v>
          </cell>
          <cell r="O66">
            <v>1.943277982127678</v>
          </cell>
          <cell r="P66">
            <v>175.52997914211562</v>
          </cell>
          <cell r="Q66" t="str">
            <v>-</v>
          </cell>
          <cell r="R66">
            <v>1.6808838557125227</v>
          </cell>
          <cell r="S66">
            <v>153.47226853333811</v>
          </cell>
          <cell r="T66">
            <v>1.943277982127678</v>
          </cell>
          <cell r="U66">
            <v>1.943277982127678</v>
          </cell>
          <cell r="V66">
            <v>136.63590443369679</v>
          </cell>
          <cell r="W66">
            <v>136.63590443369679</v>
          </cell>
        </row>
        <row r="67">
          <cell r="B67">
            <v>2028</v>
          </cell>
          <cell r="D67">
            <v>130.43463117165481</v>
          </cell>
          <cell r="F67">
            <v>2.5</v>
          </cell>
          <cell r="G67">
            <v>220.7025291597933</v>
          </cell>
          <cell r="I67">
            <v>0.52966612619260722</v>
          </cell>
          <cell r="J67">
            <v>123.31797472516641</v>
          </cell>
          <cell r="L67">
            <v>0.78452764408445397</v>
          </cell>
          <cell r="M67">
            <v>127.28770806196916</v>
          </cell>
          <cell r="N67" t="str">
            <v>-</v>
          </cell>
          <cell r="O67">
            <v>1.9599526684332957</v>
          </cell>
          <cell r="P67">
            <v>178.97028365221192</v>
          </cell>
          <cell r="Q67" t="str">
            <v>-</v>
          </cell>
          <cell r="R67">
            <v>1.7021187636793389</v>
          </cell>
          <cell r="S67">
            <v>156.08454881308842</v>
          </cell>
          <cell r="T67">
            <v>1.9599526684332957</v>
          </cell>
          <cell r="U67">
            <v>1.9599526684332957</v>
          </cell>
          <cell r="V67">
            <v>139.313903488683</v>
          </cell>
          <cell r="W67">
            <v>139.313903488683</v>
          </cell>
        </row>
        <row r="68">
          <cell r="B68">
            <v>2029</v>
          </cell>
          <cell r="D68">
            <v>133.43462768860286</v>
          </cell>
          <cell r="F68">
            <v>2.5</v>
          </cell>
          <cell r="G68">
            <v>226.22009238878815</v>
          </cell>
          <cell r="I68">
            <v>0.513204662456479</v>
          </cell>
          <cell r="J68">
            <v>123.95084832110285</v>
          </cell>
          <cell r="L68">
            <v>0.76703376500000253</v>
          </cell>
          <cell r="M68">
            <v>128.26404776149909</v>
          </cell>
          <cell r="N68" t="str">
            <v>-</v>
          </cell>
          <cell r="O68">
            <v>1.9766510720811148</v>
          </cell>
          <cell r="P68">
            <v>182.50790168272997</v>
          </cell>
          <cell r="Q68" t="str">
            <v>-</v>
          </cell>
          <cell r="R68">
            <v>1.7197749802196904</v>
          </cell>
          <cell r="S68">
            <v>158.76885183156472</v>
          </cell>
          <cell r="T68">
            <v>1.9766510720811148</v>
          </cell>
          <cell r="U68">
            <v>1.9766510720811148</v>
          </cell>
          <cell r="V68">
            <v>142.06765325555008</v>
          </cell>
          <cell r="W68">
            <v>142.06765325555008</v>
          </cell>
        </row>
        <row r="69">
          <cell r="B69">
            <v>2030</v>
          </cell>
          <cell r="D69">
            <v>136.50362412544072</v>
          </cell>
          <cell r="F69">
            <v>2.5</v>
          </cell>
          <cell r="G69">
            <v>231.87559469850785</v>
          </cell>
          <cell r="I69">
            <v>0.49711066134781046</v>
          </cell>
          <cell r="J69">
            <v>124.56702120293811</v>
          </cell>
          <cell r="L69">
            <v>0.74746115776089805</v>
          </cell>
          <cell r="M69">
            <v>129.22277169788819</v>
          </cell>
          <cell r="N69" t="str">
            <v>-</v>
          </cell>
          <cell r="O69">
            <v>1.992982012588862</v>
          </cell>
          <cell r="P69">
            <v>186.14525133482013</v>
          </cell>
          <cell r="Q69" t="str">
            <v>-</v>
          </cell>
          <cell r="R69">
            <v>1.7395364827057946</v>
          </cell>
          <cell r="S69">
            <v>161.5306939323479</v>
          </cell>
          <cell r="T69">
            <v>1.992982012588862</v>
          </cell>
          <cell r="U69">
            <v>1.992982012588862</v>
          </cell>
          <cell r="V69">
            <v>144.8990360306403</v>
          </cell>
          <cell r="W69">
            <v>144.8990360306403</v>
          </cell>
        </row>
        <row r="70">
          <cell r="B70">
            <v>2031</v>
          </cell>
          <cell r="D70">
            <v>139.64320748032586</v>
          </cell>
          <cell r="F70">
            <v>2.5</v>
          </cell>
          <cell r="G70">
            <v>237.67248456597056</v>
          </cell>
          <cell r="I70">
            <v>0.48150933324473399</v>
          </cell>
          <cell r="J70">
            <v>125.16682303617519</v>
          </cell>
          <cell r="L70">
            <v>0.7416208787600409</v>
          </cell>
          <cell r="M70">
            <v>130.18111475291215</v>
          </cell>
          <cell r="N70" t="str">
            <v>-</v>
          </cell>
          <cell r="O70">
            <v>2.0088180204986594</v>
          </cell>
          <cell r="P70">
            <v>189.88457068793653</v>
          </cell>
          <cell r="Q70" t="str">
            <v>-</v>
          </cell>
          <cell r="R70">
            <v>1.7454346137194987</v>
          </cell>
          <cell r="S70">
            <v>164.35010657602442</v>
          </cell>
          <cell r="T70">
            <v>2.0088180204986594</v>
          </cell>
          <cell r="U70">
            <v>2.0088180204986594</v>
          </cell>
          <cell r="V70">
            <v>147.80979397795264</v>
          </cell>
          <cell r="W70">
            <v>147.80979397795264</v>
          </cell>
        </row>
        <row r="71">
          <cell r="B71">
            <v>2032</v>
          </cell>
          <cell r="D71">
            <v>142.85500125237334</v>
          </cell>
          <cell r="F71">
            <v>2.5</v>
          </cell>
          <cell r="G71">
            <v>243.61429668011985</v>
          </cell>
          <cell r="I71">
            <v>0.46667032411207288</v>
          </cell>
          <cell r="J71">
            <v>125.75093945491889</v>
          </cell>
          <cell r="L71">
            <v>0.71294910054671146</v>
          </cell>
          <cell r="M71">
            <v>131.10923983962471</v>
          </cell>
          <cell r="N71" t="str">
            <v>-</v>
          </cell>
          <cell r="O71">
            <v>2.0238848061036263</v>
          </cell>
          <cell r="P71">
            <v>193.72761566322478</v>
          </cell>
          <cell r="Q71" t="str">
            <v>-</v>
          </cell>
          <cell r="R71">
            <v>1.7744003282727627</v>
          </cell>
          <cell r="S71">
            <v>167.26633540662601</v>
          </cell>
          <cell r="T71">
            <v>2.0238848061036263</v>
          </cell>
          <cell r="U71">
            <v>2.0238848061036263</v>
          </cell>
          <cell r="V71">
            <v>150.80129394020548</v>
          </cell>
          <cell r="W71">
            <v>150.80129394020548</v>
          </cell>
        </row>
        <row r="72">
          <cell r="B72">
            <v>2033</v>
          </cell>
          <cell r="D72">
            <v>146.14066628117791</v>
          </cell>
          <cell r="F72">
            <v>2.5</v>
          </cell>
          <cell r="G72">
            <v>249.70465409712284</v>
          </cell>
          <cell r="I72">
            <v>0.45287705919649923</v>
          </cell>
          <cell r="J72">
            <v>126.32043661143429</v>
          </cell>
          <cell r="L72">
            <v>0.68952755844595703</v>
          </cell>
          <cell r="M72">
            <v>132.01327417998792</v>
          </cell>
          <cell r="N72" t="str">
            <v>-</v>
          </cell>
          <cell r="O72">
            <v>2.0378937873497982</v>
          </cell>
          <cell r="P72">
            <v>197.67557870720654</v>
          </cell>
          <cell r="Q72" t="str">
            <v>-</v>
          </cell>
          <cell r="R72">
            <v>1.7980742242564851</v>
          </cell>
          <cell r="S72">
            <v>170.27390826943093</v>
          </cell>
          <cell r="T72">
            <v>2.0378937873497982</v>
          </cell>
          <cell r="U72">
            <v>2.0378937873497982</v>
          </cell>
          <cell r="V72">
            <v>153.87446414065604</v>
          </cell>
          <cell r="W72">
            <v>153.87446414065604</v>
          </cell>
        </row>
        <row r="73">
          <cell r="B73">
            <v>2034</v>
          </cell>
          <cell r="D73">
            <v>149.501901605645</v>
          </cell>
          <cell r="F73">
            <v>2.6</v>
          </cell>
          <cell r="G73">
            <v>256.19697510364801</v>
          </cell>
          <cell r="I73">
            <v>0.4405351226708154</v>
          </cell>
          <cell r="J73">
            <v>126.87692250181877</v>
          </cell>
          <cell r="L73">
            <v>0.4405351226708154</v>
          </cell>
          <cell r="M73">
            <v>132.59483901933848</v>
          </cell>
          <cell r="N73" t="str">
            <v>-</v>
          </cell>
          <cell r="O73">
            <v>2.1499934012615185</v>
          </cell>
          <cell r="P73">
            <v>201.92559060531701</v>
          </cell>
          <cell r="Q73" t="str">
            <v>-</v>
          </cell>
          <cell r="R73">
            <v>2.1499934012615185</v>
          </cell>
          <cell r="S73">
            <v>173.93478606129381</v>
          </cell>
          <cell r="T73">
            <v>2.1499934012615185</v>
          </cell>
          <cell r="U73">
            <v>2.1499934012615185</v>
          </cell>
          <cell r="V73">
            <v>157.18275496590667</v>
          </cell>
          <cell r="W73">
            <v>157.18275496590667</v>
          </cell>
        </row>
        <row r="74">
          <cell r="B74">
            <v>2035</v>
          </cell>
          <cell r="D74">
            <v>152.94044534257483</v>
          </cell>
          <cell r="F74">
            <v>2.5</v>
          </cell>
          <cell r="G74">
            <v>262.60189948123917</v>
          </cell>
          <cell r="I74">
            <v>0.42970924129790422</v>
          </cell>
          <cell r="J74">
            <v>127.42212436288347</v>
          </cell>
          <cell r="L74">
            <v>0.42970924129790422</v>
          </cell>
          <cell r="M74">
            <v>133.16461129608865</v>
          </cell>
          <cell r="N74" t="str">
            <v>-</v>
          </cell>
          <cell r="O74">
            <v>2.0614325923496546</v>
          </cell>
          <cell r="P74">
            <v>206.08815054234958</v>
          </cell>
          <cell r="Q74" t="str">
            <v>-</v>
          </cell>
          <cell r="R74">
            <v>2.0614325923496546</v>
          </cell>
          <cell r="S74">
            <v>177.52033443059497</v>
          </cell>
          <cell r="T74">
            <v>2.0614325923496546</v>
          </cell>
          <cell r="U74">
            <v>2.0614325923496546</v>
          </cell>
          <cell r="V74">
            <v>160.42297150632697</v>
          </cell>
          <cell r="W74">
            <v>160.42297150632697</v>
          </cell>
        </row>
        <row r="75">
          <cell r="B75">
            <v>2036</v>
          </cell>
          <cell r="D75">
            <v>156.45807558545405</v>
          </cell>
          <cell r="F75">
            <v>2.5</v>
          </cell>
          <cell r="G75">
            <v>269.16694696827017</v>
          </cell>
          <cell r="I75">
            <v>0.42041595056727665</v>
          </cell>
          <cell r="J75">
            <v>127.95782729825669</v>
          </cell>
          <cell r="L75">
            <v>0.42041595056727665</v>
          </cell>
          <cell r="M75">
            <v>133.72445656248831</v>
          </cell>
          <cell r="N75" t="str">
            <v>-</v>
          </cell>
          <cell r="O75">
            <v>2.0708777490589414</v>
          </cell>
          <cell r="P75">
            <v>210.3559841953782</v>
          </cell>
          <cell r="Q75" t="str">
            <v>-</v>
          </cell>
          <cell r="R75">
            <v>2.0708777490589414</v>
          </cell>
          <cell r="S75">
            <v>181.19656353637319</v>
          </cell>
          <cell r="T75">
            <v>2.0708777490589414</v>
          </cell>
          <cell r="U75">
            <v>2.0708777490589414</v>
          </cell>
          <cell r="V75">
            <v>163.74513512763068</v>
          </cell>
          <cell r="W75">
            <v>163.74513512763068</v>
          </cell>
        </row>
        <row r="76">
          <cell r="B76">
            <v>2037</v>
          </cell>
          <cell r="D76">
            <v>160.05661132391947</v>
          </cell>
          <cell r="F76">
            <v>2.5</v>
          </cell>
          <cell r="G76">
            <v>275.89612064247694</v>
          </cell>
          <cell r="I76">
            <v>0.41268089066210933</v>
          </cell>
          <cell r="J76">
            <v>128.48588479962302</v>
          </cell>
          <cell r="L76">
            <v>0.41268089066210933</v>
          </cell>
          <cell r="M76">
            <v>134.27631184086346</v>
          </cell>
          <cell r="N76" t="str">
            <v>-</v>
          </cell>
          <cell r="O76">
            <v>2.0787405443449369</v>
          </cell>
          <cell r="P76">
            <v>214.72873932630336</v>
          </cell>
          <cell r="Q76" t="str">
            <v>-</v>
          </cell>
          <cell r="R76">
            <v>2.0787405443449369</v>
          </cell>
          <cell r="S76">
            <v>184.96316996756352</v>
          </cell>
          <cell r="T76">
            <v>2.0787405443449369</v>
          </cell>
          <cell r="U76">
            <v>2.0787405443449369</v>
          </cell>
          <cell r="V76">
            <v>167.14897164092113</v>
          </cell>
          <cell r="W76">
            <v>167.14897164092113</v>
          </cell>
        </row>
        <row r="77">
          <cell r="B77">
            <v>2038</v>
          </cell>
          <cell r="D77">
            <v>163.73791338436959</v>
          </cell>
          <cell r="F77">
            <v>2.5</v>
          </cell>
          <cell r="G77">
            <v>282.79352365853885</v>
          </cell>
          <cell r="I77">
            <v>0.39927227514457986</v>
          </cell>
          <cell r="J77">
            <v>128.99889331510212</v>
          </cell>
          <cell r="L77">
            <v>0.39927227514457986</v>
          </cell>
          <cell r="M77">
            <v>134.81243992613071</v>
          </cell>
          <cell r="N77" t="str">
            <v>-</v>
          </cell>
          <cell r="O77">
            <v>2.092373457746155</v>
          </cell>
          <cell r="P77">
            <v>219.22166647411984</v>
          </cell>
          <cell r="Q77" t="str">
            <v>-</v>
          </cell>
          <cell r="R77">
            <v>2.092373457746155</v>
          </cell>
          <cell r="S77">
            <v>188.83329024257074</v>
          </cell>
          <cell r="T77">
            <v>2.092373457746155</v>
          </cell>
          <cell r="U77">
            <v>2.092373457746155</v>
          </cell>
          <cell r="V77">
            <v>170.64635235843141</v>
          </cell>
          <cell r="W77">
            <v>170.64635235843141</v>
          </cell>
        </row>
        <row r="78">
          <cell r="B78">
            <v>2039</v>
          </cell>
          <cell r="D78">
            <v>167.50388539221007</v>
          </cell>
          <cell r="F78">
            <v>2.5</v>
          </cell>
          <cell r="G78">
            <v>289.86336175000235</v>
          </cell>
          <cell r="I78">
            <v>0.39927227514457986</v>
          </cell>
          <cell r="J78">
            <v>129.51395013135266</v>
          </cell>
          <cell r="L78">
            <v>0.39927227514457986</v>
          </cell>
          <cell r="M78">
            <v>135.35070862220169</v>
          </cell>
          <cell r="N78" t="str">
            <v>-</v>
          </cell>
          <cell r="O78">
            <v>2.092373457746155</v>
          </cell>
          <cell r="P78">
            <v>223.80860243705311</v>
          </cell>
          <cell r="Q78" t="str">
            <v>-</v>
          </cell>
          <cell r="R78">
            <v>2.092373457746155</v>
          </cell>
          <cell r="S78">
            <v>192.78438788699503</v>
          </cell>
          <cell r="T78">
            <v>2.092373457746155</v>
          </cell>
          <cell r="U78">
            <v>2.092373457746155</v>
          </cell>
          <cell r="V78">
            <v>174.21691134179122</v>
          </cell>
          <cell r="W78">
            <v>174.21691134179122</v>
          </cell>
        </row>
        <row r="79">
          <cell r="B79">
            <v>2040</v>
          </cell>
          <cell r="D79">
            <v>171.35647475623088</v>
          </cell>
          <cell r="F79">
            <v>2.5</v>
          </cell>
          <cell r="G79">
            <v>297.10994579375239</v>
          </cell>
          <cell r="I79">
            <v>0.39927227514457986</v>
          </cell>
          <cell r="J79">
            <v>130.03106342667172</v>
          </cell>
          <cell r="L79">
            <v>0.39927227514457986</v>
          </cell>
          <cell r="M79">
            <v>135.89112647594186</v>
          </cell>
          <cell r="N79" t="str">
            <v>-</v>
          </cell>
          <cell r="O79">
            <v>2.092373457746155</v>
          </cell>
          <cell r="P79">
            <v>228.49151423059863</v>
          </cell>
          <cell r="Q79" t="str">
            <v>-</v>
          </cell>
          <cell r="R79">
            <v>2.092373457746155</v>
          </cell>
          <cell r="S79">
            <v>196.8181572498209</v>
          </cell>
          <cell r="T79">
            <v>2.092373457746155</v>
          </cell>
          <cell r="U79">
            <v>2.092373457746155</v>
          </cell>
          <cell r="V79">
            <v>177.862179753612</v>
          </cell>
          <cell r="W79">
            <v>177.862179753612</v>
          </cell>
        </row>
        <row r="80">
          <cell r="B80">
            <v>2041</v>
          </cell>
          <cell r="D80">
            <v>175.29767367562417</v>
          </cell>
          <cell r="F80">
            <v>2.5</v>
          </cell>
          <cell r="G80">
            <v>304.53769443859619</v>
          </cell>
          <cell r="I80">
            <v>0.39927227514457986</v>
          </cell>
          <cell r="J80">
            <v>130.55024141201008</v>
          </cell>
          <cell r="L80">
            <v>0.39927227514457986</v>
          </cell>
          <cell r="M80">
            <v>136.43370206834194</v>
          </cell>
          <cell r="N80" t="str">
            <v>-</v>
          </cell>
          <cell r="O80">
            <v>2.092373457746155</v>
          </cell>
          <cell r="P80">
            <v>233.27241002756193</v>
          </cell>
          <cell r="Q80" t="str">
            <v>-</v>
          </cell>
          <cell r="R80">
            <v>2.092373457746155</v>
          </cell>
          <cell r="S80">
            <v>200.93632813214126</v>
          </cell>
          <cell r="T80">
            <v>2.092373457746155</v>
          </cell>
          <cell r="U80">
            <v>2.092373457746155</v>
          </cell>
          <cell r="V80">
            <v>181.58372079414534</v>
          </cell>
          <cell r="W80">
            <v>181.58372079414534</v>
          </cell>
        </row>
        <row r="81">
          <cell r="B81">
            <v>2042</v>
          </cell>
          <cell r="D81">
            <v>179.32952017016351</v>
          </cell>
          <cell r="F81">
            <v>2.5</v>
          </cell>
          <cell r="G81">
            <v>312.15113679956107</v>
          </cell>
          <cell r="I81">
            <v>0.38114785390688244</v>
          </cell>
          <cell r="J81">
            <v>131.04783085542221</v>
          </cell>
          <cell r="L81">
            <v>0.38114785390688244</v>
          </cell>
          <cell r="M81">
            <v>136.95371619578114</v>
          </cell>
          <cell r="N81" t="str">
            <v>-</v>
          </cell>
          <cell r="O81">
            <v>2.1108068510801159</v>
          </cell>
          <cell r="P81">
            <v>238.19634004010339</v>
          </cell>
          <cell r="Q81" t="str">
            <v>-</v>
          </cell>
          <cell r="R81">
            <v>2.1108068510801159</v>
          </cell>
          <cell r="S81">
            <v>205.1777059126633</v>
          </cell>
          <cell r="T81">
            <v>2.1108068510801159</v>
          </cell>
          <cell r="U81">
            <v>2.1108068510801159</v>
          </cell>
          <cell r="V81">
            <v>185.41660241311433</v>
          </cell>
          <cell r="W81">
            <v>185.41660241311433</v>
          </cell>
        </row>
        <row r="82">
          <cell r="B82">
            <v>2043</v>
          </cell>
          <cell r="D82">
            <v>183.45409913407724</v>
          </cell>
          <cell r="F82">
            <v>2.5</v>
          </cell>
          <cell r="G82">
            <v>319.95491521955012</v>
          </cell>
          <cell r="I82">
            <v>0.38114785390688244</v>
          </cell>
          <cell r="J82">
            <v>131.54731685031916</v>
          </cell>
          <cell r="L82">
            <v>0.38114785390688244</v>
          </cell>
          <cell r="M82">
            <v>137.47571234590708</v>
          </cell>
          <cell r="N82" t="str">
            <v>-</v>
          </cell>
          <cell r="O82">
            <v>2.1108068510801159</v>
          </cell>
          <cell r="P82">
            <v>243.22420470469197</v>
          </cell>
          <cell r="Q82" t="str">
            <v>-</v>
          </cell>
          <cell r="R82">
            <v>2.1108068510801159</v>
          </cell>
          <cell r="S82">
            <v>209.50861098595681</v>
          </cell>
          <cell r="T82">
            <v>2.1108068510801159</v>
          </cell>
          <cell r="U82">
            <v>2.1108068510801159</v>
          </cell>
          <cell r="V82">
            <v>189.33038875989033</v>
          </cell>
          <cell r="W82">
            <v>189.33038875989033</v>
          </cell>
        </row>
        <row r="83">
          <cell r="B83">
            <v>2044</v>
          </cell>
          <cell r="D83">
            <v>187.673543414161</v>
          </cell>
          <cell r="F83">
            <v>2.5</v>
          </cell>
          <cell r="G83">
            <v>327.95378810003888</v>
          </cell>
          <cell r="I83">
            <v>0.38114785390688244</v>
          </cell>
          <cell r="J83">
            <v>132.04870662536624</v>
          </cell>
          <cell r="L83">
            <v>0.38114785390688244</v>
          </cell>
          <cell r="M83">
            <v>137.99969807315671</v>
          </cell>
          <cell r="N83" t="str">
            <v>-</v>
          </cell>
          <cell r="O83">
            <v>2.1108068510801159</v>
          </cell>
          <cell r="P83">
            <v>248.35819788108373</v>
          </cell>
          <cell r="Q83" t="str">
            <v>-</v>
          </cell>
          <cell r="R83">
            <v>2.1108068510801159</v>
          </cell>
          <cell r="S83">
            <v>213.93093310025117</v>
          </cell>
          <cell r="T83">
            <v>2.1108068510801159</v>
          </cell>
          <cell r="U83">
            <v>2.1108068510801159</v>
          </cell>
          <cell r="V83">
            <v>193.32678757701072</v>
          </cell>
          <cell r="W83">
            <v>193.32678757701072</v>
          </cell>
        </row>
        <row r="84">
          <cell r="B84">
            <v>2045</v>
          </cell>
          <cell r="D84">
            <v>191.9900349126867</v>
          </cell>
          <cell r="F84">
            <v>2.5</v>
          </cell>
          <cell r="G84">
            <v>336.15263280253987</v>
          </cell>
          <cell r="I84">
            <v>0.38114785390688244</v>
          </cell>
          <cell r="J84">
            <v>132.55200743678063</v>
          </cell>
          <cell r="L84">
            <v>0.38114785390688244</v>
          </cell>
          <cell r="M84">
            <v>138.52568096076052</v>
          </cell>
          <cell r="N84" t="str">
            <v>-</v>
          </cell>
          <cell r="O84">
            <v>2.1108068510801159</v>
          </cell>
          <cell r="P84">
            <v>253.60055973717672</v>
          </cell>
          <cell r="Q84" t="str">
            <v>-</v>
          </cell>
          <cell r="R84">
            <v>2.1108068510801159</v>
          </cell>
          <cell r="S84">
            <v>218.4466018927109</v>
          </cell>
          <cell r="T84">
            <v>2.1108068510801159</v>
          </cell>
          <cell r="U84">
            <v>2.1108068510801159</v>
          </cell>
          <cell r="V84">
            <v>197.40754265415936</v>
          </cell>
          <cell r="W84">
            <v>197.40754265415936</v>
          </cell>
        </row>
        <row r="85">
          <cell r="B85">
            <v>2046</v>
          </cell>
          <cell r="D85">
            <v>196.40580571567847</v>
          </cell>
          <cell r="F85">
            <v>2.6</v>
          </cell>
          <cell r="G85">
            <v>344.89260125540591</v>
          </cell>
          <cell r="I85">
            <v>0.38114785390688244</v>
          </cell>
          <cell r="J85">
            <v>133.05722656843639</v>
          </cell>
          <cell r="L85">
            <v>0.38114785390688244</v>
          </cell>
          <cell r="M85">
            <v>139.05366862085236</v>
          </cell>
          <cell r="N85" t="str">
            <v>-</v>
          </cell>
          <cell r="O85">
            <v>2.2104271504470141</v>
          </cell>
          <cell r="P85">
            <v>259.20621536329293</v>
          </cell>
          <cell r="Q85" t="str">
            <v>-</v>
          </cell>
          <cell r="R85">
            <v>2.2104271504470141</v>
          </cell>
          <cell r="S85">
            <v>223.27520489017627</v>
          </cell>
          <cell r="T85">
            <v>2.2104271504470141</v>
          </cell>
          <cell r="U85">
            <v>2.2104271504470141</v>
          </cell>
          <cell r="V85">
            <v>201.77109257401716</v>
          </cell>
          <cell r="W85">
            <v>201.77109257401716</v>
          </cell>
        </row>
        <row r="86">
          <cell r="B86">
            <v>2047</v>
          </cell>
          <cell r="D86">
            <v>200.92313924713906</v>
          </cell>
          <cell r="F86">
            <v>2.5</v>
          </cell>
          <cell r="G86">
            <v>353.51491628679105</v>
          </cell>
          <cell r="I86">
            <v>0.35468719653994896</v>
          </cell>
          <cell r="J86">
            <v>133.52916351514577</v>
          </cell>
          <cell r="L86">
            <v>0.35468719653994896</v>
          </cell>
          <cell r="M86">
            <v>139.54687417976959</v>
          </cell>
          <cell r="N86" t="str">
            <v>-</v>
          </cell>
          <cell r="O86">
            <v>2.1377305469136409</v>
          </cell>
          <cell r="P86">
            <v>264.74734580861281</v>
          </cell>
          <cell r="Q86" t="str">
            <v>-</v>
          </cell>
          <cell r="R86">
            <v>2.1377305469136409</v>
          </cell>
          <cell r="S86">
            <v>228.04822714879759</v>
          </cell>
          <cell r="T86">
            <v>2.1377305469136409</v>
          </cell>
          <cell r="U86">
            <v>2.1377305469136409</v>
          </cell>
          <cell r="V86">
            <v>206.08441485481333</v>
          </cell>
          <cell r="W86">
            <v>206.08441485481333</v>
          </cell>
        </row>
        <row r="87">
          <cell r="B87">
            <v>2048</v>
          </cell>
          <cell r="D87">
            <v>205.54437144982325</v>
          </cell>
          <cell r="F87">
            <v>2.5</v>
          </cell>
          <cell r="G87">
            <v>362.35278919396086</v>
          </cell>
          <cell r="I87">
            <v>0.35468719653994896</v>
          </cell>
          <cell r="J87">
            <v>134.00277436178087</v>
          </cell>
          <cell r="L87">
            <v>0.35468719653994896</v>
          </cell>
          <cell r="M87">
            <v>140.04182907565692</v>
          </cell>
          <cell r="N87" t="str">
            <v>-</v>
          </cell>
          <cell r="O87">
            <v>2.1377305469136409</v>
          </cell>
          <cell r="P87">
            <v>270.40693069210664</v>
          </cell>
          <cell r="Q87" t="str">
            <v>-</v>
          </cell>
          <cell r="R87">
            <v>2.1377305469136409</v>
          </cell>
          <cell r="S87">
            <v>232.92328376225248</v>
          </cell>
          <cell r="T87">
            <v>2.1377305469136409</v>
          </cell>
          <cell r="U87">
            <v>2.1377305469136409</v>
          </cell>
          <cell r="V87">
            <v>210.4899443435929</v>
          </cell>
          <cell r="W87">
            <v>210.4899443435929</v>
          </cell>
        </row>
        <row r="88">
          <cell r="B88">
            <v>2049</v>
          </cell>
          <cell r="D88">
            <v>210.27189199316916</v>
          </cell>
          <cell r="F88">
            <v>2.5</v>
          </cell>
          <cell r="G88">
            <v>371.41160892380992</v>
          </cell>
          <cell r="I88">
            <v>0.35468719653994896</v>
          </cell>
          <cell r="J88">
            <v>134.47806504545039</v>
          </cell>
          <cell r="L88">
            <v>0.35468719653994896</v>
          </cell>
          <cell r="M88">
            <v>140.53853951318862</v>
          </cell>
          <cell r="N88" t="str">
            <v>-</v>
          </cell>
          <cell r="O88">
            <v>2.1377305469136409</v>
          </cell>
          <cell r="P88">
            <v>276.18750225048342</v>
          </cell>
          <cell r="Q88" t="str">
            <v>-</v>
          </cell>
          <cell r="R88">
            <v>2.1377305469136409</v>
          </cell>
          <cell r="S88">
            <v>237.90255595011251</v>
          </cell>
          <cell r="T88">
            <v>2.1377305469136409</v>
          </cell>
          <cell r="U88">
            <v>2.1377305469136409</v>
          </cell>
          <cell r="V88">
            <v>214.9896521820074</v>
          </cell>
          <cell r="W88">
            <v>214.9896521820074</v>
          </cell>
        </row>
        <row r="89">
          <cell r="B89">
            <v>2050</v>
          </cell>
          <cell r="D89">
            <v>215.10814550901205</v>
          </cell>
          <cell r="F89">
            <v>2.5</v>
          </cell>
          <cell r="G89">
            <v>380.6968991469052</v>
          </cell>
          <cell r="I89">
            <v>0.35468719653994896</v>
          </cell>
          <cell r="J89">
            <v>134.95504152432125</v>
          </cell>
          <cell r="L89">
            <v>0.35468719653994896</v>
          </cell>
          <cell r="M89">
            <v>141.03701171904612</v>
          </cell>
          <cell r="N89" t="str">
            <v>-</v>
          </cell>
          <cell r="O89">
            <v>2.1377305469136409</v>
          </cell>
          <cell r="P89">
            <v>282.09164685284981</v>
          </cell>
          <cell r="Q89" t="str">
            <v>-</v>
          </cell>
          <cell r="R89">
            <v>2.1377305469136409</v>
          </cell>
          <cell r="S89">
            <v>242.98827156054639</v>
          </cell>
          <cell r="T89">
            <v>2.1377305469136409</v>
          </cell>
          <cell r="U89">
            <v>2.1377305469136409</v>
          </cell>
          <cell r="V89">
            <v>219.58555164940557</v>
          </cell>
          <cell r="W89">
            <v>219.58555164940557</v>
          </cell>
        </row>
        <row r="90">
          <cell r="B90">
            <v>2051</v>
          </cell>
          <cell r="D90">
            <v>220.0556328557193</v>
          </cell>
          <cell r="F90">
            <v>2.4</v>
          </cell>
          <cell r="G90">
            <v>389.83362472643091</v>
          </cell>
          <cell r="I90">
            <v>0.35468719653994896</v>
          </cell>
          <cell r="J90">
            <v>135.43370977769317</v>
          </cell>
          <cell r="L90">
            <v>0.35468719653994896</v>
          </cell>
          <cell r="M90">
            <v>141.53725194199612</v>
          </cell>
          <cell r="N90" t="str">
            <v>-</v>
          </cell>
          <cell r="O90">
            <v>2.0380839805264062</v>
          </cell>
          <cell r="P90">
            <v>287.84091151776084</v>
          </cell>
          <cell r="Q90" t="str">
            <v>-</v>
          </cell>
          <cell r="R90">
            <v>2.0380839805264062</v>
          </cell>
          <cell r="S90">
            <v>247.94057659777991</v>
          </cell>
          <cell r="T90">
            <v>2.0380839805264062</v>
          </cell>
          <cell r="U90">
            <v>2.0380839805264062</v>
          </cell>
          <cell r="V90">
            <v>224.06088960112265</v>
          </cell>
          <cell r="W90">
            <v>224.06088960112265</v>
          </cell>
        </row>
        <row r="91">
          <cell r="B91">
            <v>2052</v>
          </cell>
          <cell r="D91">
            <v>225.11691241140082</v>
          </cell>
          <cell r="F91">
            <v>2.4</v>
          </cell>
          <cell r="G91">
            <v>399.1896317198653</v>
          </cell>
          <cell r="I91">
            <v>0.32282427525738289</v>
          </cell>
          <cell r="J91">
            <v>135.87092266973718</v>
          </cell>
          <cell r="L91">
            <v>0.32282427525738289</v>
          </cell>
          <cell r="M91">
            <v>141.99416854979708</v>
          </cell>
          <cell r="N91" t="str">
            <v>-</v>
          </cell>
          <cell r="O91">
            <v>2.0704916749985314</v>
          </cell>
          <cell r="P91">
            <v>293.80063362797597</v>
          </cell>
          <cell r="Q91" t="str">
            <v>-</v>
          </cell>
          <cell r="R91">
            <v>2.0704916749985314</v>
          </cell>
          <cell r="S91">
            <v>253.07416559518032</v>
          </cell>
          <cell r="T91">
            <v>2.0704916749985314</v>
          </cell>
          <cell r="U91">
            <v>2.0704916749985314</v>
          </cell>
          <cell r="V91">
            <v>228.70005166724155</v>
          </cell>
          <cell r="W91">
            <v>228.70005166724155</v>
          </cell>
        </row>
        <row r="92">
          <cell r="B92">
            <v>2053</v>
          </cell>
          <cell r="D92">
            <v>230.29460139686302</v>
          </cell>
          <cell r="F92">
            <v>2.4</v>
          </cell>
          <cell r="G92">
            <v>408.77018288114209</v>
          </cell>
          <cell r="I92">
            <v>0.32282427525738289</v>
          </cell>
          <cell r="J92">
            <v>136.30954699113127</v>
          </cell>
          <cell r="L92">
            <v>0.32282427525738289</v>
          </cell>
          <cell r="M92">
            <v>142.4525601953257</v>
          </cell>
          <cell r="N92" t="str">
            <v>-</v>
          </cell>
          <cell r="O92">
            <v>2.0704916749985314</v>
          </cell>
          <cell r="P92">
            <v>299.88375128833616</v>
          </cell>
          <cell r="Q92" t="str">
            <v>-</v>
          </cell>
          <cell r="R92">
            <v>2.0704916749985314</v>
          </cell>
          <cell r="S92">
            <v>258.31404512540053</v>
          </cell>
          <cell r="T92">
            <v>2.0704916749985314</v>
          </cell>
          <cell r="U92">
            <v>2.0704916749985314</v>
          </cell>
          <cell r="V92">
            <v>233.43526719772913</v>
          </cell>
          <cell r="W92">
            <v>233.43526719772913</v>
          </cell>
        </row>
        <row r="93">
          <cell r="B93">
            <v>2054</v>
          </cell>
          <cell r="D93">
            <v>235.59137722899084</v>
          </cell>
          <cell r="F93">
            <v>2.4</v>
          </cell>
          <cell r="G93">
            <v>418.58066727028955</v>
          </cell>
          <cell r="I93">
            <v>0.32282427525738289</v>
          </cell>
          <cell r="J93">
            <v>136.74958729831201</v>
          </cell>
          <cell r="L93">
            <v>0.32282427525738289</v>
          </cell>
          <cell r="M93">
            <v>142.91243164036186</v>
          </cell>
          <cell r="N93" t="str">
            <v>-</v>
          </cell>
          <cell r="O93">
            <v>2.0704916749985314</v>
          </cell>
          <cell r="P93">
            <v>306.09281939343447</v>
          </cell>
          <cell r="Q93" t="str">
            <v>-</v>
          </cell>
          <cell r="R93">
            <v>2.0704916749985314</v>
          </cell>
          <cell r="S93">
            <v>263.6624159250739</v>
          </cell>
          <cell r="T93">
            <v>2.0704916749985314</v>
          </cell>
          <cell r="U93">
            <v>2.0704916749985314</v>
          </cell>
          <cell r="V93">
            <v>238.2685249715687</v>
          </cell>
          <cell r="W93">
            <v>238.2685249715687</v>
          </cell>
        </row>
        <row r="94">
          <cell r="B94">
            <v>2055</v>
          </cell>
          <cell r="D94">
            <v>241.00997890525761</v>
          </cell>
          <cell r="F94">
            <v>2.4</v>
          </cell>
          <cell r="G94">
            <v>428.62660328477648</v>
          </cell>
          <cell r="I94">
            <v>0.32282427525738289</v>
          </cell>
          <cell r="J94">
            <v>137.19104816242526</v>
          </cell>
          <cell r="L94">
            <v>0.32282427525738289</v>
          </cell>
          <cell r="M94">
            <v>143.37378766205757</v>
          </cell>
          <cell r="N94" t="str">
            <v>-</v>
          </cell>
          <cell r="O94">
            <v>2.0704916749985314</v>
          </cell>
          <cell r="P94">
            <v>312.43044573674382</v>
          </cell>
          <cell r="Q94" t="str">
            <v>-</v>
          </cell>
          <cell r="R94">
            <v>2.0704916749985314</v>
          </cell>
          <cell r="S94">
            <v>269.12152429690258</v>
          </cell>
          <cell r="T94">
            <v>2.0704916749985314</v>
          </cell>
          <cell r="U94">
            <v>2.0704916749985314</v>
          </cell>
          <cell r="V94">
            <v>243.20185494524682</v>
          </cell>
          <cell r="W94">
            <v>243.20185494524682</v>
          </cell>
        </row>
        <row r="95">
          <cell r="B95">
            <v>2056</v>
          </cell>
          <cell r="D95">
            <v>246.55320842007851</v>
          </cell>
          <cell r="F95">
            <v>2.4</v>
          </cell>
          <cell r="G95">
            <v>438.91364176361117</v>
          </cell>
          <cell r="I95">
            <v>0.32282427525738289</v>
          </cell>
          <cell r="J95">
            <v>137.63393416937362</v>
          </cell>
          <cell r="L95">
            <v>0.32282427525738289</v>
          </cell>
          <cell r="M95">
            <v>143.83663305298668</v>
          </cell>
          <cell r="N95" t="str">
            <v>-</v>
          </cell>
          <cell r="O95">
            <v>2.0704916749985314</v>
          </cell>
          <cell r="P95">
            <v>318.89929210588389</v>
          </cell>
          <cell r="Q95" t="str">
            <v>-</v>
          </cell>
          <cell r="R95">
            <v>2.0704916749985314</v>
          </cell>
          <cell r="S95">
            <v>274.6936630530991</v>
          </cell>
          <cell r="T95">
            <v>2.0704916749985314</v>
          </cell>
          <cell r="U95">
            <v>2.0704916749985314</v>
          </cell>
          <cell r="V95">
            <v>248.23732910533016</v>
          </cell>
          <cell r="W95">
            <v>248.23732910533016</v>
          </cell>
        </row>
        <row r="96">
          <cell r="B96">
            <v>2057</v>
          </cell>
          <cell r="D96">
            <v>252.22393221374028</v>
          </cell>
          <cell r="F96">
            <v>2.4</v>
          </cell>
          <cell r="G96">
            <v>449.44756916593792</v>
          </cell>
          <cell r="I96">
            <v>0.29926047884336615</v>
          </cell>
          <cell r="J96">
            <v>138.04581813981983</v>
          </cell>
          <cell r="L96">
            <v>0.29926047884336615</v>
          </cell>
          <cell r="M96">
            <v>144.26707924981324</v>
          </cell>
          <cell r="N96" t="str">
            <v>-</v>
          </cell>
          <cell r="O96">
            <v>2.0944715954309245</v>
          </cell>
          <cell r="P96">
            <v>325.57854719707188</v>
          </cell>
          <cell r="Q96" t="str">
            <v>-</v>
          </cell>
          <cell r="R96">
            <v>2.0944715954309245</v>
          </cell>
          <cell r="S96">
            <v>280.44704380019499</v>
          </cell>
          <cell r="T96">
            <v>2.0944715954309245</v>
          </cell>
          <cell r="U96">
            <v>2.0944715954309245</v>
          </cell>
          <cell r="V96">
            <v>253.43658945269769</v>
          </cell>
          <cell r="W96">
            <v>253.43658945269769</v>
          </cell>
        </row>
        <row r="97">
          <cell r="B97">
            <v>2058</v>
          </cell>
          <cell r="D97">
            <v>258.02508265465627</v>
          </cell>
          <cell r="F97">
            <v>2.5</v>
          </cell>
          <cell r="G97">
            <v>460.68375839508633</v>
          </cell>
          <cell r="I97">
            <v>0.29926047884336615</v>
          </cell>
          <cell r="J97">
            <v>138.45893471620829</v>
          </cell>
          <cell r="L97">
            <v>0.29926047884336615</v>
          </cell>
          <cell r="M97">
            <v>144.69881360198957</v>
          </cell>
          <cell r="N97" t="str">
            <v>-</v>
          </cell>
          <cell r="O97">
            <v>2.1941732278483173</v>
          </cell>
          <cell r="P97">
            <v>332.72230451528753</v>
          </cell>
          <cell r="Q97" t="str">
            <v>-</v>
          </cell>
          <cell r="R97">
            <v>2.1941732278483173</v>
          </cell>
          <cell r="S97">
            <v>286.60053775355095</v>
          </cell>
          <cell r="T97">
            <v>2.1941732278483173</v>
          </cell>
          <cell r="U97">
            <v>2.1941732278483173</v>
          </cell>
          <cell r="V97">
            <v>258.99742724804065</v>
          </cell>
          <cell r="W97">
            <v>258.99742724804065</v>
          </cell>
        </row>
        <row r="98">
          <cell r="B98">
            <v>2059</v>
          </cell>
          <cell r="D98">
            <v>263.95965955571336</v>
          </cell>
          <cell r="F98">
            <v>2.5</v>
          </cell>
          <cell r="G98">
            <v>472.2008523549635</v>
          </cell>
          <cell r="I98">
            <v>0.29926047884336615</v>
          </cell>
          <cell r="J98">
            <v>138.87328758724144</v>
          </cell>
          <cell r="L98">
            <v>0.29926047884336615</v>
          </cell>
          <cell r="M98">
            <v>145.13183996445557</v>
          </cell>
          <cell r="N98" t="str">
            <v>-</v>
          </cell>
          <cell r="O98">
            <v>2.1941732278483173</v>
          </cell>
          <cell r="P98">
            <v>340.02280824404193</v>
          </cell>
          <cell r="Q98" t="str">
            <v>-</v>
          </cell>
          <cell r="R98">
            <v>2.1941732278483173</v>
          </cell>
          <cell r="S98">
            <v>292.88905002380869</v>
          </cell>
          <cell r="T98">
            <v>2.1941732278483173</v>
          </cell>
          <cell r="U98">
            <v>2.1941732278483173</v>
          </cell>
          <cell r="V98">
            <v>264.68027945753306</v>
          </cell>
          <cell r="W98">
            <v>264.68027945753306</v>
          </cell>
        </row>
        <row r="99">
          <cell r="B99">
            <v>2060</v>
          </cell>
          <cell r="D99">
            <v>270.03073172549472</v>
          </cell>
          <cell r="F99">
            <v>2.6</v>
          </cell>
          <cell r="G99">
            <v>484.47807451619252</v>
          </cell>
          <cell r="I99">
            <v>0.29926047884336615</v>
          </cell>
          <cell r="J99">
            <v>139.28888045266055</v>
          </cell>
          <cell r="L99">
            <v>0.29926047884336615</v>
          </cell>
          <cell r="M99">
            <v>145.56616220368738</v>
          </cell>
          <cell r="N99" t="str">
            <v>-</v>
          </cell>
          <cell r="O99">
            <v>2.2938748602657322</v>
          </cell>
          <cell r="P99">
            <v>347.82250596152153</v>
          </cell>
          <cell r="Q99" t="str">
            <v>-</v>
          </cell>
          <cell r="R99">
            <v>2.2938748602657322</v>
          </cell>
          <cell r="S99">
            <v>299.60755831077597</v>
          </cell>
          <cell r="T99">
            <v>2.2938748602657322</v>
          </cell>
          <cell r="U99">
            <v>2.2938748602657322</v>
          </cell>
          <cell r="V99">
            <v>270.7517138480905</v>
          </cell>
          <cell r="W99">
            <v>270.7517138480905</v>
          </cell>
        </row>
        <row r="100">
          <cell r="B100">
            <v>2061</v>
          </cell>
          <cell r="D100">
            <v>276.24143855518105</v>
          </cell>
          <cell r="F100">
            <v>2.6</v>
          </cell>
          <cell r="G100">
            <v>497.07450445361349</v>
          </cell>
          <cell r="I100">
            <v>0.29926047884336615</v>
          </cell>
          <cell r="J100">
            <v>139.70571702327874</v>
          </cell>
          <cell r="L100">
            <v>0.29926047884336615</v>
          </cell>
          <cell r="M100">
            <v>146.00178419773204</v>
          </cell>
          <cell r="N100" t="str">
            <v>-</v>
          </cell>
          <cell r="O100">
            <v>2.2938748602657322</v>
          </cell>
          <cell r="P100">
            <v>355.80111898411917</v>
          </cell>
          <cell r="Q100" t="str">
            <v>-</v>
          </cell>
          <cell r="R100">
            <v>2.2938748602657322</v>
          </cell>
          <cell r="S100">
            <v>306.48018077032282</v>
          </cell>
          <cell r="T100">
            <v>2.2938748602657322</v>
          </cell>
          <cell r="U100">
            <v>2.2938748602657322</v>
          </cell>
          <cell r="V100">
            <v>276.96241934579047</v>
          </cell>
          <cell r="W100">
            <v>276.96241934579047</v>
          </cell>
        </row>
        <row r="101">
          <cell r="B101">
            <v>2062</v>
          </cell>
          <cell r="D101">
            <v>282.59499164195017</v>
          </cell>
          <cell r="F101">
            <v>2.6</v>
          </cell>
          <cell r="G101">
            <v>509.99844156940742</v>
          </cell>
          <cell r="I101">
            <v>0.293426640766703</v>
          </cell>
          <cell r="J101">
            <v>140.11565081569918</v>
          </cell>
          <cell r="L101">
            <v>0.293426640766703</v>
          </cell>
          <cell r="M101">
            <v>146.43019232856287</v>
          </cell>
          <cell r="N101" t="str">
            <v>-</v>
          </cell>
          <cell r="O101">
            <v>2.2998250598167624</v>
          </cell>
          <cell r="P101">
            <v>363.98392228162442</v>
          </cell>
          <cell r="Q101" t="str">
            <v>-</v>
          </cell>
          <cell r="R101">
            <v>2.2998250598167624</v>
          </cell>
          <cell r="S101">
            <v>313.52868877105044</v>
          </cell>
          <cell r="T101">
            <v>2.2998250598167624</v>
          </cell>
          <cell r="U101">
            <v>2.2998250598167624</v>
          </cell>
          <cell r="V101">
            <v>283.33207047217974</v>
          </cell>
          <cell r="W101">
            <v>283.33207047217974</v>
          </cell>
        </row>
        <row r="102">
          <cell r="B102">
            <v>2063</v>
          </cell>
          <cell r="D102">
            <v>289.094676449715</v>
          </cell>
          <cell r="F102">
            <v>2.6</v>
          </cell>
          <cell r="G102">
            <v>523.258401050212</v>
          </cell>
          <cell r="I102">
            <v>0.29603672103788448</v>
          </cell>
          <cell r="J102">
            <v>140.53044459403486</v>
          </cell>
          <cell r="L102">
            <v>0.29603672103788448</v>
          </cell>
          <cell r="M102">
            <v>146.86367946854182</v>
          </cell>
          <cell r="N102" t="str">
            <v>-</v>
          </cell>
          <cell r="O102">
            <v>2.2971628334331085</v>
          </cell>
          <cell r="P102">
            <v>372.34522566394998</v>
          </cell>
          <cell r="Q102" t="str">
            <v>-</v>
          </cell>
          <cell r="R102">
            <v>2.2971628334331085</v>
          </cell>
          <cell r="S102">
            <v>320.73095328164914</v>
          </cell>
          <cell r="T102">
            <v>2.2971628334331085</v>
          </cell>
          <cell r="U102">
            <v>2.2971628334331085</v>
          </cell>
          <cell r="V102">
            <v>289.84066949026317</v>
          </cell>
          <cell r="W102">
            <v>289.84066949026317</v>
          </cell>
        </row>
        <row r="103">
          <cell r="B103">
            <v>2064</v>
          </cell>
          <cell r="D103">
            <v>295.74385400805841</v>
          </cell>
          <cell r="F103">
            <v>2.5</v>
          </cell>
          <cell r="G103">
            <v>536.33986107646729</v>
          </cell>
          <cell r="I103">
            <v>0.29603672103788448</v>
          </cell>
          <cell r="J103">
            <v>140.94646631427099</v>
          </cell>
          <cell r="L103">
            <v>0.29603672103788448</v>
          </cell>
          <cell r="M103">
            <v>147.29844988963606</v>
          </cell>
          <cell r="N103" t="str">
            <v>-</v>
          </cell>
          <cell r="O103">
            <v>2.1974579963635055</v>
          </cell>
          <cell r="P103">
            <v>380.52735559938014</v>
          </cell>
          <cell r="Q103" t="str">
            <v>-</v>
          </cell>
          <cell r="R103">
            <v>2.1974579963635055</v>
          </cell>
          <cell r="S103">
            <v>327.77888126134968</v>
          </cell>
          <cell r="T103">
            <v>2.1974579963635055</v>
          </cell>
          <cell r="U103">
            <v>2.1974579963635055</v>
          </cell>
          <cell r="V103">
            <v>296.20979645869045</v>
          </cell>
          <cell r="W103">
            <v>296.20979645869045</v>
          </cell>
        </row>
        <row r="104">
          <cell r="B104">
            <v>2065</v>
          </cell>
          <cell r="D104">
            <v>302.54596265024372</v>
          </cell>
          <cell r="F104">
            <v>2.5</v>
          </cell>
          <cell r="G104">
            <v>549.74835760337896</v>
          </cell>
          <cell r="I104">
            <v>0.29603672103788448</v>
          </cell>
          <cell r="J104">
            <v>141.36371961156652</v>
          </cell>
          <cell r="L104">
            <v>0.29603672103788448</v>
          </cell>
          <cell r="M104">
            <v>147.73450739082898</v>
          </cell>
          <cell r="N104" t="str">
            <v>-</v>
          </cell>
          <cell r="O104">
            <v>2.1974579963635055</v>
          </cell>
          <cell r="P104">
            <v>388.88928440334928</v>
          </cell>
          <cell r="Q104" t="str">
            <v>-</v>
          </cell>
          <cell r="R104">
            <v>2.1974579963635055</v>
          </cell>
          <cell r="S104">
            <v>334.98168449801807</v>
          </cell>
          <cell r="T104">
            <v>2.1974579963635055</v>
          </cell>
          <cell r="U104">
            <v>2.1974579963635055</v>
          </cell>
          <cell r="V104">
            <v>302.71888231698398</v>
          </cell>
          <cell r="W104">
            <v>302.71888231698398</v>
          </cell>
        </row>
        <row r="105">
          <cell r="B105">
            <v>2066</v>
          </cell>
          <cell r="D105">
            <v>309.5045197911993</v>
          </cell>
          <cell r="F105">
            <v>2.5</v>
          </cell>
          <cell r="G105">
            <v>563.49206654346347</v>
          </cell>
          <cell r="I105">
            <v>0.29603672103788448</v>
          </cell>
          <cell r="J105">
            <v>141.78220813184177</v>
          </cell>
          <cell r="L105">
            <v>0.29603672103788448</v>
          </cell>
          <cell r="M105">
            <v>148.17185578235024</v>
          </cell>
          <cell r="N105" t="str">
            <v>-</v>
          </cell>
          <cell r="O105">
            <v>2.1974579963635055</v>
          </cell>
          <cell r="P105">
            <v>397.4349630804715</v>
          </cell>
          <cell r="Q105" t="str">
            <v>-</v>
          </cell>
          <cell r="R105">
            <v>2.1974579963635055</v>
          </cell>
          <cell r="S105">
            <v>342.34276631037295</v>
          </cell>
          <cell r="T105">
            <v>2.1974579963635055</v>
          </cell>
          <cell r="U105">
            <v>2.1974579963635055</v>
          </cell>
          <cell r="V105">
            <v>309.3710026029608</v>
          </cell>
          <cell r="W105">
            <v>309.3710026029608</v>
          </cell>
        </row>
        <row r="106">
          <cell r="B106">
            <v>2067</v>
          </cell>
          <cell r="D106">
            <v>316.62312374639686</v>
          </cell>
          <cell r="F106">
            <v>2.5</v>
          </cell>
          <cell r="G106">
            <v>577.57936820705004</v>
          </cell>
          <cell r="I106">
            <v>0.30942574335044437</v>
          </cell>
          <cell r="J106">
            <v>142.2209187832924</v>
          </cell>
          <cell r="L106">
            <v>0.30942574335044437</v>
          </cell>
          <cell r="M106">
            <v>148.63033764854092</v>
          </cell>
          <cell r="N106" t="str">
            <v>-</v>
          </cell>
          <cell r="O106">
            <v>2.1838169647729</v>
          </cell>
          <cell r="P106">
            <v>406.11421522816175</v>
          </cell>
          <cell r="Q106" t="str">
            <v>-</v>
          </cell>
          <cell r="R106">
            <v>2.1838169647729</v>
          </cell>
          <cell r="S106">
            <v>349.81890571873168</v>
          </cell>
          <cell r="T106">
            <v>2.1838169647729</v>
          </cell>
          <cell r="U106">
            <v>2.1838169647729</v>
          </cell>
          <cell r="V106">
            <v>316.12709904189228</v>
          </cell>
          <cell r="W106">
            <v>316.12709904189228</v>
          </cell>
        </row>
        <row r="107">
          <cell r="B107">
            <v>2068</v>
          </cell>
          <cell r="D107">
            <v>323.90545559256395</v>
          </cell>
          <cell r="F107">
            <v>2.5</v>
          </cell>
          <cell r="G107">
            <v>592.01885241222624</v>
          </cell>
          <cell r="I107">
            <v>0.30942574335044437</v>
          </cell>
          <cell r="J107">
            <v>142.66098691843746</v>
          </cell>
          <cell r="L107">
            <v>0.30942574335044437</v>
          </cell>
          <cell r="M107">
            <v>149.09023817565421</v>
          </cell>
          <cell r="N107" t="str">
            <v>-</v>
          </cell>
          <cell r="O107">
            <v>2.1838169647729</v>
          </cell>
          <cell r="P107">
            <v>414.98300635666868</v>
          </cell>
          <cell r="Q107" t="str">
            <v>-</v>
          </cell>
          <cell r="R107">
            <v>2.1838169647729</v>
          </cell>
          <cell r="S107">
            <v>357.45831032780029</v>
          </cell>
          <cell r="T107">
            <v>2.1838169647729</v>
          </cell>
          <cell r="U107">
            <v>2.1838169647729</v>
          </cell>
          <cell r="V107">
            <v>323.03073626101354</v>
          </cell>
          <cell r="W107">
            <v>323.03073626101354</v>
          </cell>
        </row>
        <row r="108">
          <cell r="B108">
            <v>2069</v>
          </cell>
          <cell r="D108">
            <v>331.35528107119291</v>
          </cell>
          <cell r="F108">
            <v>2.5</v>
          </cell>
          <cell r="G108">
            <v>606.81932372253186</v>
          </cell>
          <cell r="I108">
            <v>0.30942574335044437</v>
          </cell>
          <cell r="J108">
            <v>143.10241673768093</v>
          </cell>
          <cell r="L108">
            <v>0.30942574335044437</v>
          </cell>
          <cell r="M108">
            <v>149.55156175339218</v>
          </cell>
          <cell r="N108" t="str">
            <v>-</v>
          </cell>
          <cell r="O108">
            <v>2.1838169647729</v>
          </cell>
          <cell r="P108">
            <v>424.04547565041025</v>
          </cell>
          <cell r="Q108" t="str">
            <v>-</v>
          </cell>
          <cell r="R108">
            <v>2.1838169647729</v>
          </cell>
          <cell r="S108">
            <v>365.26454555072939</v>
          </cell>
          <cell r="T108">
            <v>2.1838169647729</v>
          </cell>
          <cell r="U108">
            <v>2.1838169647729</v>
          </cell>
          <cell r="V108">
            <v>330.08513628091237</v>
          </cell>
          <cell r="W108">
            <v>330.08513628091237</v>
          </cell>
        </row>
        <row r="109">
          <cell r="B109">
            <v>2070</v>
          </cell>
          <cell r="D109">
            <v>338.97645253583033</v>
          </cell>
          <cell r="F109">
            <v>2.5</v>
          </cell>
          <cell r="G109">
            <v>621.9898068155951</v>
          </cell>
          <cell r="I109">
            <v>0.30942574335044437</v>
          </cell>
          <cell r="J109">
            <v>143.54521245442393</v>
          </cell>
          <cell r="L109">
            <v>0.30942574335044437</v>
          </cell>
          <cell r="M109">
            <v>150.01431278503981</v>
          </cell>
          <cell r="N109" t="str">
            <v>-</v>
          </cell>
          <cell r="O109">
            <v>2.1838169647729</v>
          </cell>
          <cell r="P109">
            <v>433.30585268601584</v>
          </cell>
          <cell r="Q109" t="str">
            <v>-</v>
          </cell>
          <cell r="R109">
            <v>2.1838169647729</v>
          </cell>
          <cell r="S109">
            <v>373.24125466276689</v>
          </cell>
          <cell r="T109">
            <v>2.1838169647729</v>
          </cell>
          <cell r="U109">
            <v>2.1838169647729</v>
          </cell>
          <cell r="V109">
            <v>337.29359148520865</v>
          </cell>
          <cell r="W109">
            <v>337.29359148520865</v>
          </cell>
        </row>
        <row r="110">
          <cell r="B110">
            <v>2071</v>
          </cell>
          <cell r="D110">
            <v>346.77291094415438</v>
          </cell>
          <cell r="F110">
            <v>2.5</v>
          </cell>
          <cell r="G110">
            <v>637.53955198598499</v>
          </cell>
          <cell r="I110">
            <v>0.30942574335044437</v>
          </cell>
          <cell r="J110">
            <v>143.98937829510501</v>
          </cell>
          <cell r="L110">
            <v>0.30942574335044437</v>
          </cell>
          <cell r="M110">
            <v>150.47849568750698</v>
          </cell>
          <cell r="N110" t="str">
            <v>-</v>
          </cell>
          <cell r="O110">
            <v>2.1838169647729</v>
          </cell>
          <cell r="P110">
            <v>442.76845940632694</v>
          </cell>
          <cell r="Q110" t="str">
            <v>-</v>
          </cell>
          <cell r="R110">
            <v>2.1838169647729</v>
          </cell>
          <cell r="S110">
            <v>381.39216050162366</v>
          </cell>
          <cell r="T110">
            <v>2.1838169647729</v>
          </cell>
          <cell r="U110">
            <v>2.1838169647729</v>
          </cell>
          <cell r="V110">
            <v>344.65946615715444</v>
          </cell>
          <cell r="W110">
            <v>344.65946615715444</v>
          </cell>
        </row>
        <row r="111">
          <cell r="B111">
            <v>2072</v>
          </cell>
          <cell r="D111">
            <v>354.74868789586992</v>
          </cell>
          <cell r="F111">
            <v>2.5</v>
          </cell>
          <cell r="G111">
            <v>653.47804078563456</v>
          </cell>
          <cell r="I111">
            <v>0.32470052960498208</v>
          </cell>
          <cell r="J111">
            <v>144.45691256900415</v>
          </cell>
          <cell r="L111">
            <v>0.32470052960498208</v>
          </cell>
          <cell r="M111">
            <v>150.96710015994594</v>
          </cell>
          <cell r="N111" t="str">
            <v>-</v>
          </cell>
          <cell r="O111">
            <v>2.1682591215441471</v>
          </cell>
          <cell r="P111">
            <v>452.36882691472516</v>
          </cell>
          <cell r="Q111" t="str">
            <v>-</v>
          </cell>
          <cell r="R111">
            <v>2.1682591215441471</v>
          </cell>
          <cell r="S111">
            <v>389.66173081055445</v>
          </cell>
          <cell r="T111">
            <v>2.1682591215441471</v>
          </cell>
          <cell r="U111">
            <v>2.1682591215441471</v>
          </cell>
          <cell r="V111">
            <v>352.13257647037233</v>
          </cell>
          <cell r="W111">
            <v>352.13257647037233</v>
          </cell>
        </row>
        <row r="112">
          <cell r="B112">
            <v>2073</v>
          </cell>
          <cell r="D112">
            <v>362.90790771747487</v>
          </cell>
          <cell r="F112">
            <v>2.5</v>
          </cell>
          <cell r="G112">
            <v>669.81499180527544</v>
          </cell>
          <cell r="I112">
            <v>0.32470052960498208</v>
          </cell>
          <cell r="J112">
            <v>144.92596492916672</v>
          </cell>
          <cell r="L112">
            <v>0.32470052960498208</v>
          </cell>
          <cell r="M112">
            <v>151.45729113369458</v>
          </cell>
          <cell r="N112" t="str">
            <v>-</v>
          </cell>
          <cell r="O112">
            <v>2.1682591215441471</v>
          </cell>
          <cell r="P112">
            <v>462.17735526732599</v>
          </cell>
          <cell r="Q112" t="str">
            <v>-</v>
          </cell>
          <cell r="R112">
            <v>2.1682591215441471</v>
          </cell>
          <cell r="S112">
            <v>398.11060683202118</v>
          </cell>
          <cell r="T112">
            <v>2.1682591215441471</v>
          </cell>
          <cell r="U112">
            <v>2.1682591215441471</v>
          </cell>
          <cell r="V112">
            <v>359.76772317961962</v>
          </cell>
          <cell r="W112">
            <v>359.76772317961962</v>
          </cell>
        </row>
        <row r="113">
          <cell r="B113">
            <v>2074</v>
          </cell>
          <cell r="D113">
            <v>371.25478959497678</v>
          </cell>
          <cell r="F113">
            <v>2.5</v>
          </cell>
          <cell r="G113">
            <v>686.56036660040729</v>
          </cell>
          <cell r="I113">
            <v>0.32470052960498208</v>
          </cell>
          <cell r="J113">
            <v>145.39654030482686</v>
          </cell>
          <cell r="L113">
            <v>0.32470052960498208</v>
          </cell>
          <cell r="M113">
            <v>151.94907376013106</v>
          </cell>
          <cell r="N113" t="str">
            <v>-</v>
          </cell>
          <cell r="O113">
            <v>2.1682591215441471</v>
          </cell>
          <cell r="P113">
            <v>472.19855793062129</v>
          </cell>
          <cell r="Q113" t="str">
            <v>-</v>
          </cell>
          <cell r="R113">
            <v>2.1682591215441471</v>
          </cell>
          <cell r="S113">
            <v>406.74267637849124</v>
          </cell>
          <cell r="T113">
            <v>2.1682591215441471</v>
          </cell>
          <cell r="U113">
            <v>2.1682591215441471</v>
          </cell>
          <cell r="V113">
            <v>367.56841965383342</v>
          </cell>
          <cell r="W113">
            <v>367.56841965383342</v>
          </cell>
        </row>
        <row r="114">
          <cell r="B114">
            <v>2075</v>
          </cell>
          <cell r="D114">
            <v>379.79364975566119</v>
          </cell>
          <cell r="F114">
            <v>2.5</v>
          </cell>
          <cell r="G114">
            <v>703.72437576541745</v>
          </cell>
          <cell r="I114">
            <v>0.32470052960498208</v>
          </cell>
          <cell r="J114">
            <v>145.86864364122394</v>
          </cell>
          <cell r="L114">
            <v>0.32470052960498208</v>
          </cell>
          <cell r="M114">
            <v>152.44245320736007</v>
          </cell>
          <cell r="N114" t="str">
            <v>-</v>
          </cell>
          <cell r="O114">
            <v>2.1682591215441471</v>
          </cell>
          <cell r="P114">
            <v>482.4370462347519</v>
          </cell>
          <cell r="Q114" t="str">
            <v>-</v>
          </cell>
          <cell r="R114">
            <v>2.1682591215441471</v>
          </cell>
          <cell r="S114">
            <v>415.56191156028069</v>
          </cell>
          <cell r="T114">
            <v>2.1682591215441471</v>
          </cell>
          <cell r="U114">
            <v>2.1682591215441471</v>
          </cell>
          <cell r="V114">
            <v>375.53825544089335</v>
          </cell>
          <cell r="W114">
            <v>375.53825544089335</v>
          </cell>
        </row>
        <row r="115">
          <cell r="B115">
            <v>2076</v>
          </cell>
          <cell r="D115">
            <v>388.52890370004138</v>
          </cell>
          <cell r="F115">
            <v>2.5</v>
          </cell>
          <cell r="G115">
            <v>721.31748515955292</v>
          </cell>
          <cell r="I115">
            <v>0.32470052960498208</v>
          </cell>
          <cell r="J115">
            <v>146.34227989965461</v>
          </cell>
          <cell r="L115">
            <v>0.32470052960498208</v>
          </cell>
          <cell r="M115">
            <v>152.9374346602672</v>
          </cell>
          <cell r="N115" t="str">
            <v>-</v>
          </cell>
          <cell r="O115">
            <v>2.1682591215441471</v>
          </cell>
          <cell r="P115">
            <v>492.89753149544509</v>
          </cell>
          <cell r="Q115" t="str">
            <v>-</v>
          </cell>
          <cell r="R115">
            <v>2.1682591215441471</v>
          </cell>
          <cell r="S115">
            <v>424.57237061334968</v>
          </cell>
          <cell r="T115">
            <v>2.1682591215441471</v>
          </cell>
          <cell r="U115">
            <v>2.1682591215441471</v>
          </cell>
          <cell r="V115">
            <v>383.68089791937825</v>
          </cell>
          <cell r="W115">
            <v>383.68089791937825</v>
          </cell>
        </row>
        <row r="116">
          <cell r="B116">
            <v>2077</v>
          </cell>
          <cell r="D116">
            <v>397.4650684851423</v>
          </cell>
          <cell r="F116">
            <v>2.5</v>
          </cell>
          <cell r="G116">
            <v>739.35042228854172</v>
          </cell>
          <cell r="I116">
            <v>0.32756652282164289</v>
          </cell>
          <cell r="J116">
            <v>146.82164821733983</v>
          </cell>
          <cell r="L116">
            <v>0.32756652282164289</v>
          </cell>
          <cell r="M116">
            <v>153.43840649707644</v>
          </cell>
          <cell r="N116" t="str">
            <v>-</v>
          </cell>
          <cell r="O116">
            <v>2.1653405464431286</v>
          </cell>
          <cell r="P116">
            <v>503.57044159733329</v>
          </cell>
          <cell r="Q116" t="str">
            <v>-</v>
          </cell>
          <cell r="R116">
            <v>2.1653405464431286</v>
          </cell>
          <cell r="S116">
            <v>433.7658083032353</v>
          </cell>
          <cell r="T116">
            <v>2.1653405464431286</v>
          </cell>
          <cell r="U116">
            <v>2.1653405464431286</v>
          </cell>
          <cell r="V116">
            <v>391.98889597098361</v>
          </cell>
          <cell r="W116">
            <v>391.98889597098361</v>
          </cell>
        </row>
        <row r="117">
          <cell r="B117">
            <v>2078</v>
          </cell>
          <cell r="D117">
            <v>406.60676506030052</v>
          </cell>
          <cell r="F117">
            <v>2.5</v>
          </cell>
          <cell r="G117">
            <v>757.83418284575532</v>
          </cell>
          <cell r="I117">
            <v>0.32756652282164289</v>
          </cell>
          <cell r="J117">
            <v>147.30258678515477</v>
          </cell>
          <cell r="L117">
            <v>0.32756652282164289</v>
          </cell>
          <cell r="M117">
            <v>153.94101934991187</v>
          </cell>
          <cell r="N117" t="str">
            <v>-</v>
          </cell>
          <cell r="O117">
            <v>2.1653405464431286</v>
          </cell>
          <cell r="P117">
            <v>514.47445654914304</v>
          </cell>
          <cell r="Q117" t="str">
            <v>-</v>
          </cell>
          <cell r="R117">
            <v>2.1653405464431286</v>
          </cell>
          <cell r="S117">
            <v>443.15831522703206</v>
          </cell>
          <cell r="T117">
            <v>2.1653405464431286</v>
          </cell>
          <cell r="U117">
            <v>2.1653405464431286</v>
          </cell>
          <cell r="V117">
            <v>400.47679047299806</v>
          </cell>
          <cell r="W117">
            <v>400.47679047299806</v>
          </cell>
        </row>
        <row r="118">
          <cell r="B118">
            <v>2079</v>
          </cell>
          <cell r="D118">
            <v>415.95872065668738</v>
          </cell>
          <cell r="F118">
            <v>2.5</v>
          </cell>
          <cell r="G118">
            <v>776.78003741689918</v>
          </cell>
          <cell r="I118">
            <v>0.32756652282164289</v>
          </cell>
          <cell r="J118">
            <v>147.78510074671323</v>
          </cell>
          <cell r="L118">
            <v>0.32756652282164289</v>
          </cell>
          <cell r="M118">
            <v>154.44527859419256</v>
          </cell>
          <cell r="N118" t="str">
            <v>-</v>
          </cell>
          <cell r="O118">
            <v>2.1653405464431286</v>
          </cell>
          <cell r="P118">
            <v>525.61458055789456</v>
          </cell>
          <cell r="Q118" t="str">
            <v>-</v>
          </cell>
          <cell r="R118">
            <v>2.1653405464431286</v>
          </cell>
          <cell r="S118">
            <v>452.75420191157724</v>
          </cell>
          <cell r="T118">
            <v>2.1653405464431286</v>
          </cell>
          <cell r="U118">
            <v>2.1653405464431286</v>
          </cell>
          <cell r="V118">
            <v>409.14847679620397</v>
          </cell>
          <cell r="W118">
            <v>409.14847679620397</v>
          </cell>
        </row>
        <row r="119">
          <cell r="B119">
            <v>2080</v>
          </cell>
          <cell r="D119">
            <v>425.52577123179117</v>
          </cell>
          <cell r="F119">
            <v>2.5</v>
          </cell>
          <cell r="G119">
            <v>796.19953835232172</v>
          </cell>
          <cell r="I119">
            <v>0.32756652282164289</v>
          </cell>
          <cell r="J119">
            <v>148.26919526247769</v>
          </cell>
          <cell r="L119">
            <v>0.32756652282164289</v>
          </cell>
          <cell r="M119">
            <v>154.95118962294575</v>
          </cell>
          <cell r="N119" t="str">
            <v>-</v>
          </cell>
          <cell r="O119">
            <v>2.1653405464431286</v>
          </cell>
          <cell r="P119">
            <v>536.99592618873169</v>
          </cell>
          <cell r="Q119" t="str">
            <v>-</v>
          </cell>
          <cell r="R119">
            <v>2.1653405464431286</v>
          </cell>
          <cell r="S119">
            <v>462.55787222129368</v>
          </cell>
          <cell r="T119">
            <v>2.1653405464431286</v>
          </cell>
          <cell r="U119">
            <v>2.1653405464431286</v>
          </cell>
          <cell r="V119">
            <v>418.00793465942661</v>
          </cell>
          <cell r="W119">
            <v>418.00793465942661</v>
          </cell>
        </row>
        <row r="120">
          <cell r="B120">
            <v>2081</v>
          </cell>
          <cell r="D120">
            <v>435.31286397012235</v>
          </cell>
          <cell r="F120">
            <v>2.5</v>
          </cell>
          <cell r="G120">
            <v>816.10452681112974</v>
          </cell>
          <cell r="I120">
            <v>0.32756652282164289</v>
          </cell>
          <cell r="J120">
            <v>148.75487550981464</v>
          </cell>
          <cell r="L120">
            <v>0.32756652282164289</v>
          </cell>
          <cell r="M120">
            <v>155.45875784686439</v>
          </cell>
          <cell r="N120" t="str">
            <v>-</v>
          </cell>
          <cell r="O120">
            <v>2.1653405464431286</v>
          </cell>
          <cell r="P120">
            <v>548.62371671124413</v>
          </cell>
          <cell r="Q120" t="str">
            <v>-</v>
          </cell>
          <cell r="R120">
            <v>2.1653405464431286</v>
          </cell>
          <cell r="S120">
            <v>472.573825379266</v>
          </cell>
          <cell r="T120">
            <v>2.1653405464431286</v>
          </cell>
          <cell r="U120">
            <v>2.1653405464431286</v>
          </cell>
          <cell r="V120">
            <v>427.05922995595665</v>
          </cell>
          <cell r="W120">
            <v>427.05922995595665</v>
          </cell>
        </row>
        <row r="121">
          <cell r="B121">
            <v>2082</v>
          </cell>
          <cell r="D121">
            <v>445.32505984143512</v>
          </cell>
          <cell r="F121">
            <v>2.5</v>
          </cell>
          <cell r="G121">
            <v>836.50713998140793</v>
          </cell>
          <cell r="I121">
            <v>0.31909344783966898</v>
          </cell>
          <cell r="J121">
            <v>149.22954257090851</v>
          </cell>
          <cell r="L121">
            <v>0.31909344783966898</v>
          </cell>
          <cell r="M121">
            <v>155.95481655724666</v>
          </cell>
          <cell r="N121" t="str">
            <v>-</v>
          </cell>
          <cell r="O121">
            <v>2.1739695577435381</v>
          </cell>
          <cell r="P121">
            <v>560.55062929910764</v>
          </cell>
          <cell r="Q121" t="str">
            <v>-</v>
          </cell>
          <cell r="R121">
            <v>2.1739695577435381</v>
          </cell>
          <cell r="S121">
            <v>482.84743648087533</v>
          </cell>
          <cell r="T121">
            <v>2.1739695577435381</v>
          </cell>
          <cell r="U121">
            <v>2.1739695577435381</v>
          </cell>
          <cell r="V121">
            <v>436.3433676087331</v>
          </cell>
          <cell r="W121">
            <v>436.3433676087331</v>
          </cell>
        </row>
        <row r="122">
          <cell r="B122">
            <v>2083</v>
          </cell>
          <cell r="D122">
            <v>455.56753621778807</v>
          </cell>
          <cell r="F122">
            <v>2.5</v>
          </cell>
          <cell r="G122">
            <v>857.41981848094304</v>
          </cell>
          <cell r="I122">
            <v>0.31909344783966898</v>
          </cell>
          <cell r="J122">
            <v>149.70572426349338</v>
          </cell>
          <cell r="L122">
            <v>0.31909344783966898</v>
          </cell>
          <cell r="M122">
            <v>156.45245815847119</v>
          </cell>
          <cell r="N122" t="str">
            <v>-</v>
          </cell>
          <cell r="O122">
            <v>2.1739695577435381</v>
          </cell>
          <cell r="P122">
            <v>572.73682933581006</v>
          </cell>
          <cell r="Q122" t="str">
            <v>-</v>
          </cell>
          <cell r="R122">
            <v>2.1739695577435381</v>
          </cell>
          <cell r="S122">
            <v>493.34439276031458</v>
          </cell>
          <cell r="T122">
            <v>2.1739695577435381</v>
          </cell>
          <cell r="U122">
            <v>2.1739695577435381</v>
          </cell>
          <cell r="V122">
            <v>445.82933958777994</v>
          </cell>
          <cell r="W122">
            <v>445.82933958777994</v>
          </cell>
        </row>
        <row r="123">
          <cell r="B123">
            <v>2084</v>
          </cell>
          <cell r="D123">
            <v>466.04558955079716</v>
          </cell>
          <cell r="F123">
            <v>2.5</v>
          </cell>
          <cell r="G123">
            <v>878.85531394296663</v>
          </cell>
          <cell r="I123">
            <v>0.31909344783966898</v>
          </cell>
          <cell r="J123">
            <v>150.18342542065909</v>
          </cell>
          <cell r="L123">
            <v>0.31909344783966898</v>
          </cell>
          <cell r="M123">
            <v>156.95168770143897</v>
          </cell>
          <cell r="N123" t="str">
            <v>-</v>
          </cell>
          <cell r="O123">
            <v>2.1739695577435381</v>
          </cell>
          <cell r="P123">
            <v>585.18795365155609</v>
          </cell>
          <cell r="Q123" t="str">
            <v>-</v>
          </cell>
          <cell r="R123">
            <v>2.1739695577435381</v>
          </cell>
          <cell r="S123">
            <v>504.0695496737585</v>
          </cell>
          <cell r="T123">
            <v>2.1739695577435381</v>
          </cell>
          <cell r="U123">
            <v>2.1739695577435381</v>
          </cell>
          <cell r="V123">
            <v>455.52153370990732</v>
          </cell>
          <cell r="W123">
            <v>455.52153370990732</v>
          </cell>
        </row>
        <row r="124">
          <cell r="B124">
            <v>2085</v>
          </cell>
          <cell r="D124">
            <v>476.76463811046546</v>
          </cell>
          <cell r="F124">
            <v>2.5</v>
          </cell>
          <cell r="G124">
            <v>900.82669679154071</v>
          </cell>
          <cell r="I124">
            <v>0.31909344783966898</v>
          </cell>
          <cell r="J124">
            <v>150.66265089091758</v>
          </cell>
          <cell r="L124">
            <v>0.31909344783966898</v>
          </cell>
          <cell r="M124">
            <v>157.45251025316804</v>
          </cell>
          <cell r="N124" t="str">
            <v>-</v>
          </cell>
          <cell r="O124">
            <v>2.1739695577435381</v>
          </cell>
          <cell r="P124">
            <v>597.90976161952324</v>
          </cell>
          <cell r="Q124" t="str">
            <v>-</v>
          </cell>
          <cell r="R124">
            <v>2.1739695577435381</v>
          </cell>
          <cell r="S124">
            <v>515.02786823352096</v>
          </cell>
          <cell r="T124">
            <v>2.1739695577435381</v>
          </cell>
          <cell r="U124">
            <v>2.1739695577435381</v>
          </cell>
          <cell r="V124">
            <v>465.42443318172718</v>
          </cell>
          <cell r="W124">
            <v>465.42443318172718</v>
          </cell>
        </row>
        <row r="125">
          <cell r="B125">
            <v>2086</v>
          </cell>
          <cell r="D125">
            <v>487.73022478700614</v>
          </cell>
          <cell r="F125">
            <v>2.5</v>
          </cell>
          <cell r="G125">
            <v>923.34736421132925</v>
          </cell>
          <cell r="I125">
            <v>0.31909344783966898</v>
          </cell>
          <cell r="J125">
            <v>151.14340553825204</v>
          </cell>
          <cell r="L125">
            <v>0.31909344783966898</v>
          </cell>
          <cell r="M125">
            <v>157.95493089684498</v>
          </cell>
          <cell r="N125" t="str">
            <v>-</v>
          </cell>
          <cell r="O125">
            <v>2.1739695577435381</v>
          </cell>
          <cell r="P125">
            <v>610.90813781990857</v>
          </cell>
          <cell r="Q125" t="str">
            <v>-</v>
          </cell>
          <cell r="R125">
            <v>2.1739695577435381</v>
          </cell>
          <cell r="S125">
            <v>526.22441730281321</v>
          </cell>
          <cell r="T125">
            <v>2.1739695577435381</v>
          </cell>
          <cell r="U125">
            <v>2.1739695577435381</v>
          </cell>
          <cell r="V125">
            <v>475.54261867339835</v>
          </cell>
          <cell r="W125">
            <v>475.54261867339835</v>
          </cell>
        </row>
        <row r="126">
          <cell r="B126">
            <v>2087</v>
          </cell>
          <cell r="D126">
            <v>498.94801995710725</v>
          </cell>
          <cell r="F126">
            <v>2.5</v>
          </cell>
          <cell r="G126">
            <v>946.43104831661242</v>
          </cell>
          <cell r="I126">
            <v>0.31287579773595642</v>
          </cell>
          <cell r="J126">
            <v>151.61629667405515</v>
          </cell>
          <cell r="L126">
            <v>0.31287579773595642</v>
          </cell>
          <cell r="M126">
            <v>158.44913364695176</v>
          </cell>
          <cell r="N126" t="str">
            <v>-</v>
          </cell>
          <cell r="O126">
            <v>2.1803025632262996</v>
          </cell>
          <cell r="P126">
            <v>624.22778360775408</v>
          </cell>
          <cell r="Q126" t="str">
            <v>-</v>
          </cell>
          <cell r="R126">
            <v>2.1803025632262996</v>
          </cell>
          <cell r="S126">
            <v>537.69770176158909</v>
          </cell>
          <cell r="T126">
            <v>2.1803025632262996</v>
          </cell>
          <cell r="U126">
            <v>2.1803025632262996</v>
          </cell>
          <cell r="V126">
            <v>485.91088657756791</v>
          </cell>
          <cell r="W126">
            <v>485.91088657756791</v>
          </cell>
        </row>
        <row r="127">
          <cell r="B127">
            <v>2088</v>
          </cell>
          <cell r="D127">
            <v>510.42382441612068</v>
          </cell>
          <cell r="F127">
            <v>2.5</v>
          </cell>
          <cell r="G127">
            <v>970.09182452452774</v>
          </cell>
          <cell r="I127">
            <v>0.30920442667492498</v>
          </cell>
          <cell r="J127">
            <v>152.08510097493192</v>
          </cell>
          <cell r="L127">
            <v>0.30920442667492498</v>
          </cell>
          <cell r="M127">
            <v>158.9390653822162</v>
          </cell>
          <cell r="N127" t="str">
            <v>-</v>
          </cell>
          <cell r="O127">
            <v>2.1840424174897288</v>
          </cell>
          <cell r="P127">
            <v>637.8611831835035</v>
          </cell>
          <cell r="Q127" t="str">
            <v>-</v>
          </cell>
          <cell r="R127">
            <v>2.1840424174897288</v>
          </cell>
          <cell r="S127">
            <v>549.44124764592959</v>
          </cell>
          <cell r="T127">
            <v>2.1840424174897288</v>
          </cell>
          <cell r="U127">
            <v>2.1840424174897288</v>
          </cell>
          <cell r="V127">
            <v>496.5233864516224</v>
          </cell>
          <cell r="W127">
            <v>496.5233864516224</v>
          </cell>
        </row>
        <row r="128">
          <cell r="B128">
            <v>2089</v>
          </cell>
          <cell r="D128">
            <v>522.16357237769137</v>
          </cell>
          <cell r="F128">
            <v>2.5</v>
          </cell>
          <cell r="G128">
            <v>994.34412013764097</v>
          </cell>
          <cell r="I128">
            <v>0.30920442667492498</v>
          </cell>
          <cell r="J128">
            <v>152.55535483945943</v>
          </cell>
          <cell r="L128">
            <v>0.30920442667492498</v>
          </cell>
          <cell r="M128">
            <v>159.43051200809376</v>
          </cell>
          <cell r="N128" t="str">
            <v>-</v>
          </cell>
          <cell r="O128">
            <v>2.1840424174897288</v>
          </cell>
          <cell r="P128">
            <v>651.79234198893312</v>
          </cell>
          <cell r="Q128" t="str">
            <v>-</v>
          </cell>
          <cell r="R128">
            <v>2.1840424174897288</v>
          </cell>
          <cell r="S128">
            <v>561.44127755370152</v>
          </cell>
          <cell r="T128">
            <v>2.1840424174897288</v>
          </cell>
          <cell r="U128">
            <v>2.1840424174897288</v>
          </cell>
          <cell r="V128">
            <v>507.36766782448228</v>
          </cell>
          <cell r="W128">
            <v>507.36766782448228</v>
          </cell>
        </row>
        <row r="129">
          <cell r="B129">
            <v>2090</v>
          </cell>
          <cell r="D129">
            <v>534.17333454237826</v>
          </cell>
          <cell r="F129">
            <v>2.5</v>
          </cell>
          <cell r="G129">
            <v>1019.2027231410819</v>
          </cell>
          <cell r="I129">
            <v>0.30920442667492498</v>
          </cell>
          <cell r="J129">
            <v>153.02706274975267</v>
          </cell>
          <cell r="L129">
            <v>0.30920442667492498</v>
          </cell>
          <cell r="M129">
            <v>159.9234782086933</v>
          </cell>
          <cell r="N129" t="str">
            <v>-</v>
          </cell>
          <cell r="O129">
            <v>2.1840424174897288</v>
          </cell>
          <cell r="P129">
            <v>666.02776321192107</v>
          </cell>
          <cell r="Q129" t="str">
            <v>-</v>
          </cell>
          <cell r="R129">
            <v>2.1840424174897288</v>
          </cell>
          <cell r="S129">
            <v>573.70339320477058</v>
          </cell>
          <cell r="T129">
            <v>2.1840424174897288</v>
          </cell>
          <cell r="U129">
            <v>2.1840424174897288</v>
          </cell>
          <cell r="V129">
            <v>518.44879290239737</v>
          </cell>
          <cell r="W129">
            <v>518.44879290239737</v>
          </cell>
        </row>
        <row r="130">
          <cell r="B130">
            <v>2091</v>
          </cell>
          <cell r="D130">
            <v>546.45932123685293</v>
          </cell>
          <cell r="F130">
            <v>2.5</v>
          </cell>
          <cell r="G130">
            <v>1044.682791219609</v>
          </cell>
          <cell r="I130">
            <v>0.30920442667492498</v>
          </cell>
          <cell r="J130">
            <v>153.50022920178552</v>
          </cell>
          <cell r="L130">
            <v>0.30920442667492498</v>
          </cell>
          <cell r="M130">
            <v>160.41796868260707</v>
          </cell>
          <cell r="N130" t="str">
            <v>-</v>
          </cell>
          <cell r="O130">
            <v>2.1840424174897288</v>
          </cell>
          <cell r="P130">
            <v>680.57409207272747</v>
          </cell>
          <cell r="Q130" t="str">
            <v>-</v>
          </cell>
          <cell r="R130">
            <v>2.1840424174897288</v>
          </cell>
          <cell r="S130">
            <v>586.23331866294063</v>
          </cell>
          <cell r="T130">
            <v>2.1840424174897288</v>
          </cell>
          <cell r="U130">
            <v>2.1840424174897288</v>
          </cell>
          <cell r="V130">
            <v>529.77193445234923</v>
          </cell>
          <cell r="W130">
            <v>529.77193445234923</v>
          </cell>
        </row>
        <row r="131">
          <cell r="B131">
            <v>2092</v>
          </cell>
          <cell r="D131">
            <v>559.02788562530054</v>
          </cell>
          <cell r="F131">
            <v>2.5</v>
          </cell>
          <cell r="G131">
            <v>1070.7998610000993</v>
          </cell>
          <cell r="I131">
            <v>0.30920442667492498</v>
          </cell>
          <cell r="J131">
            <v>153.9748587054336</v>
          </cell>
          <cell r="L131">
            <v>0.30920442667492498</v>
          </cell>
          <cell r="M131">
            <v>160.91398814295567</v>
          </cell>
          <cell r="N131" t="str">
            <v>-</v>
          </cell>
          <cell r="O131">
            <v>2.1840424174897288</v>
          </cell>
          <cell r="P131">
            <v>695.43811892604151</v>
          </cell>
          <cell r="Q131" t="str">
            <v>-</v>
          </cell>
          <cell r="R131">
            <v>2.1840424174897288</v>
          </cell>
          <cell r="S131">
            <v>599.03690300799701</v>
          </cell>
          <cell r="T131">
            <v>2.1840424174897288</v>
          </cell>
          <cell r="U131">
            <v>2.1840424174897288</v>
          </cell>
          <cell r="V131">
            <v>541.34237821674446</v>
          </cell>
          <cell r="W131">
            <v>541.34237821674446</v>
          </cell>
        </row>
        <row r="132">
          <cell r="B132">
            <v>2093</v>
          </cell>
          <cell r="D132">
            <v>571.88552699468244</v>
          </cell>
          <cell r="F132">
            <v>2.5</v>
          </cell>
          <cell r="G132">
            <v>1097.5698575251017</v>
          </cell>
          <cell r="I132">
            <v>0.30841445123372946</v>
          </cell>
          <cell r="J132">
            <v>154.44973942094788</v>
          </cell>
          <cell r="L132">
            <v>0.30841445123372946</v>
          </cell>
          <cell r="M132">
            <v>161.41027013644509</v>
          </cell>
          <cell r="N132" t="str">
            <v>-</v>
          </cell>
          <cell r="O132">
            <v>2.1848471643739709</v>
          </cell>
          <cell r="P132">
            <v>710.6323789473729</v>
          </cell>
          <cell r="Q132" t="str">
            <v>-</v>
          </cell>
          <cell r="R132">
            <v>2.1848471643739709</v>
          </cell>
          <cell r="S132">
            <v>612.12494379692089</v>
          </cell>
          <cell r="T132">
            <v>2.1848471643739709</v>
          </cell>
          <cell r="U132">
            <v>2.1848471643739709</v>
          </cell>
          <cell r="V132">
            <v>553.16988181676766</v>
          </cell>
          <cell r="W132">
            <v>553.16988181676766</v>
          </cell>
        </row>
        <row r="133">
          <cell r="B133">
            <v>2094</v>
          </cell>
          <cell r="D133">
            <v>585.03889411556008</v>
          </cell>
          <cell r="F133">
            <v>2.5</v>
          </cell>
          <cell r="G133">
            <v>1125.0091039632293</v>
          </cell>
          <cell r="I133">
            <v>0.30841445123372946</v>
          </cell>
          <cell r="J133">
            <v>154.92608473721492</v>
          </cell>
          <cell r="L133">
            <v>0.30841445123372946</v>
          </cell>
          <cell r="M133">
            <v>161.9080827353213</v>
          </cell>
          <cell r="N133" t="str">
            <v>-</v>
          </cell>
          <cell r="O133">
            <v>2.1848471643739709</v>
          </cell>
          <cell r="P133">
            <v>726.15861032792793</v>
          </cell>
          <cell r="Q133" t="str">
            <v>-</v>
          </cell>
          <cell r="R133">
            <v>2.1848471643739709</v>
          </cell>
          <cell r="S133">
            <v>625.49893827389371</v>
          </cell>
          <cell r="T133">
            <v>2.1848471643739709</v>
          </cell>
          <cell r="U133">
            <v>2.1848471643739709</v>
          </cell>
          <cell r="V133">
            <v>565.25579829381218</v>
          </cell>
          <cell r="W133">
            <v>565.25579829381218</v>
          </cell>
        </row>
        <row r="134">
          <cell r="B134">
            <v>2095</v>
          </cell>
          <cell r="D134">
            <v>598.49478868021788</v>
          </cell>
          <cell r="F134">
            <v>2.5</v>
          </cell>
          <cell r="G134">
            <v>1153.1343315623101</v>
          </cell>
          <cell r="I134">
            <v>0.30841445123372946</v>
          </cell>
          <cell r="J134">
            <v>155.40389917127513</v>
          </cell>
          <cell r="L134">
            <v>0.30841445123372946</v>
          </cell>
          <cell r="M134">
            <v>162.40743066019249</v>
          </cell>
          <cell r="N134" t="str">
            <v>-</v>
          </cell>
          <cell r="O134">
            <v>2.1848471643739709</v>
          </cell>
          <cell r="P134">
            <v>742.02406613453513</v>
          </cell>
          <cell r="Q134" t="str">
            <v>-</v>
          </cell>
          <cell r="R134">
            <v>2.1848471643739709</v>
          </cell>
          <cell r="S134">
            <v>639.16513408996025</v>
          </cell>
          <cell r="T134">
            <v>2.1848471643739709</v>
          </cell>
          <cell r="U134">
            <v>2.1848471643739709</v>
          </cell>
          <cell r="V134">
            <v>577.60577357429395</v>
          </cell>
          <cell r="W134">
            <v>577.60577357429395</v>
          </cell>
        </row>
        <row r="135">
          <cell r="B135">
            <v>2096</v>
          </cell>
          <cell r="D135">
            <v>612.26016881986288</v>
          </cell>
          <cell r="F135">
            <v>2.5</v>
          </cell>
          <cell r="G135">
            <v>1181.9626898513679</v>
          </cell>
          <cell r="I135">
            <v>0.30841445123372946</v>
          </cell>
          <cell r="J135">
            <v>155.88318725410002</v>
          </cell>
          <cell r="L135">
            <v>0.30841445123372946</v>
          </cell>
          <cell r="M135">
            <v>162.90831864622592</v>
          </cell>
          <cell r="N135" t="str">
            <v>-</v>
          </cell>
          <cell r="O135">
            <v>2.1848471643739709</v>
          </cell>
          <cell r="P135">
            <v>758.23615790244799</v>
          </cell>
          <cell r="Q135" t="str">
            <v>-</v>
          </cell>
          <cell r="R135">
            <v>2.1848471643739709</v>
          </cell>
          <cell r="S135">
            <v>653.12991539779182</v>
          </cell>
          <cell r="T135">
            <v>2.1848471643739709</v>
          </cell>
          <cell r="U135">
            <v>2.1848471643739709</v>
          </cell>
          <cell r="V135">
            <v>590.22557693949227</v>
          </cell>
          <cell r="W135">
            <v>590.22557693949227</v>
          </cell>
        </row>
        <row r="136">
          <cell r="B136">
            <v>2097</v>
          </cell>
          <cell r="D136">
            <v>626.34215270271966</v>
          </cell>
          <cell r="F136">
            <v>2.5</v>
          </cell>
          <cell r="G136">
            <v>1211.5117570976522</v>
          </cell>
          <cell r="I136">
            <v>0.30841445123372946</v>
          </cell>
          <cell r="J136">
            <v>156.3639535306354</v>
          </cell>
          <cell r="L136">
            <v>0.30841445123372946</v>
          </cell>
          <cell r="M136">
            <v>163.41075144319279</v>
          </cell>
          <cell r="N136" t="str">
            <v>-</v>
          </cell>
          <cell r="O136">
            <v>2.1848471643739709</v>
          </cell>
          <cell r="P136">
            <v>774.80245909763778</v>
          </cell>
          <cell r="Q136" t="str">
            <v>-</v>
          </cell>
          <cell r="R136">
            <v>2.1848471643739709</v>
          </cell>
          <cell r="S136">
            <v>667.3998058340386</v>
          </cell>
          <cell r="T136">
            <v>2.1848471643739709</v>
          </cell>
          <cell r="U136">
            <v>2.1848471643739709</v>
          </cell>
          <cell r="V136">
            <v>603.12110372066468</v>
          </cell>
          <cell r="W136">
            <v>603.12110372066468</v>
          </cell>
        </row>
        <row r="137">
          <cell r="B137">
            <v>2098</v>
          </cell>
          <cell r="D137">
            <v>640.7480222148821</v>
          </cell>
          <cell r="F137">
            <v>2.5</v>
          </cell>
          <cell r="G137">
            <v>1241.7995510250935</v>
          </cell>
          <cell r="I137">
            <v>0.30841445123372946</v>
          </cell>
          <cell r="J137">
            <v>156.84620255984427</v>
          </cell>
          <cell r="L137">
            <v>0.30841445123372946</v>
          </cell>
          <cell r="M137">
            <v>163.91473381551324</v>
          </cell>
          <cell r="N137" t="str">
            <v>-</v>
          </cell>
          <cell r="O137">
            <v>2.1848471643739709</v>
          </cell>
          <cell r="P137">
            <v>791.73070865473233</v>
          </cell>
          <cell r="Q137" t="str">
            <v>-</v>
          </cell>
          <cell r="R137">
            <v>2.1848471643739709</v>
          </cell>
          <cell r="S137">
            <v>681.98147156684104</v>
          </cell>
          <cell r="T137">
            <v>2.1848471643739709</v>
          </cell>
          <cell r="U137">
            <v>2.1848471643739709</v>
          </cell>
          <cell r="V137">
            <v>616.29837805304658</v>
          </cell>
          <cell r="W137">
            <v>616.29837805304658</v>
          </cell>
        </row>
        <row r="138">
          <cell r="B138">
            <v>2099</v>
          </cell>
          <cell r="D138">
            <v>655.4852267258243</v>
          </cell>
          <cell r="F138">
            <v>2.5</v>
          </cell>
          <cell r="G138">
            <v>1272.8445398007209</v>
          </cell>
          <cell r="I138">
            <v>0.30841445123372946</v>
          </cell>
          <cell r="J138">
            <v>157.32993891475016</v>
          </cell>
          <cell r="L138">
            <v>0.30841445123372946</v>
          </cell>
          <cell r="M138">
            <v>164.42027054230158</v>
          </cell>
          <cell r="N138" t="str">
            <v>-</v>
          </cell>
          <cell r="O138">
            <v>2.1848471643739709</v>
          </cell>
          <cell r="P138">
            <v>809.02881459225318</v>
          </cell>
          <cell r="Q138" t="str">
            <v>-</v>
          </cell>
          <cell r="R138">
            <v>2.1848471643739709</v>
          </cell>
          <cell r="S138">
            <v>696.88172440992503</v>
          </cell>
          <cell r="T138">
            <v>2.1848471643739709</v>
          </cell>
          <cell r="U138">
            <v>2.1848471643739709</v>
          </cell>
          <cell r="V138">
            <v>629.76355569002135</v>
          </cell>
          <cell r="W138">
            <v>629.76355569002135</v>
          </cell>
        </row>
        <row r="139">
          <cell r="B139">
            <v>2100</v>
          </cell>
          <cell r="D139">
            <v>670.56138694051822</v>
          </cell>
          <cell r="F139">
            <v>2.5</v>
          </cell>
          <cell r="G139">
            <v>1304.6656532957388</v>
          </cell>
          <cell r="I139">
            <v>0.30841445123372946</v>
          </cell>
          <cell r="J139">
            <v>157.81516718248045</v>
          </cell>
          <cell r="L139">
            <v>0.30841445123372946</v>
          </cell>
          <cell r="M139">
            <v>164.92736641741166</v>
          </cell>
          <cell r="N139" t="str">
            <v>-</v>
          </cell>
          <cell r="O139">
            <v>2.1848471643739709</v>
          </cell>
          <cell r="P139">
            <v>826.70485770684036</v>
          </cell>
          <cell r="Q139" t="str">
            <v>-</v>
          </cell>
          <cell r="R139">
            <v>2.1848471643739709</v>
          </cell>
          <cell r="S139">
            <v>712.10752500473575</v>
          </cell>
          <cell r="T139">
            <v>2.1848471643739709</v>
          </cell>
          <cell r="U139">
            <v>2.1848471643739709</v>
          </cell>
          <cell r="V139">
            <v>643.52292687877548</v>
          </cell>
          <cell r="W139">
            <v>643.52292687877548</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8">
          <cell r="B28">
            <v>2010</v>
          </cell>
          <cell r="D28">
            <v>13.171013231580163</v>
          </cell>
          <cell r="E28">
            <v>7.3669941447135106</v>
          </cell>
          <cell r="F28">
            <v>0.37237200000000004</v>
          </cell>
          <cell r="G28">
            <v>0.34611500000000001</v>
          </cell>
          <cell r="H28">
            <v>12.85576479</v>
          </cell>
          <cell r="I28">
            <v>0.47871268463818806</v>
          </cell>
          <cell r="J28">
            <v>0.44495730302908498</v>
          </cell>
          <cell r="K28">
            <v>12.54382212531444</v>
          </cell>
          <cell r="L28">
            <v>7.3669941447135106</v>
          </cell>
          <cell r="M28">
            <v>5</v>
          </cell>
        </row>
        <row r="29">
          <cell r="B29">
            <v>2011</v>
          </cell>
          <cell r="D29">
            <v>13.822820334384595</v>
          </cell>
          <cell r="E29">
            <v>7.6471378592622665</v>
          </cell>
          <cell r="F29">
            <v>0.3653495553599389</v>
          </cell>
          <cell r="G29">
            <v>0.33958772773840473</v>
          </cell>
          <cell r="H29">
            <v>11.500893360000001</v>
          </cell>
          <cell r="I29">
            <v>0.42018462753180741</v>
          </cell>
          <cell r="J29">
            <v>0.39055622430841075</v>
          </cell>
          <cell r="K29">
            <v>13.164590794651994</v>
          </cell>
          <cell r="L29">
            <v>7.6471378592622665</v>
          </cell>
          <cell r="M29">
            <v>5</v>
          </cell>
        </row>
        <row r="30">
          <cell r="B30">
            <v>2012</v>
          </cell>
          <cell r="D30">
            <v>14.3778510280384</v>
          </cell>
          <cell r="E30">
            <v>7.9773128967551603</v>
          </cell>
          <cell r="F30">
            <v>0.35794566438318431</v>
          </cell>
          <cell r="G30">
            <v>0.33270590599719052</v>
          </cell>
          <cell r="H30">
            <v>6.3916835400000007</v>
          </cell>
          <cell r="I30">
            <v>0.22878754112523639</v>
          </cell>
          <cell r="J30">
            <v>0.21265508630230304</v>
          </cell>
          <cell r="K30">
            <v>13.693191455274667</v>
          </cell>
          <cell r="L30">
            <v>7.9773128967551603</v>
          </cell>
          <cell r="M30">
            <v>5</v>
          </cell>
        </row>
        <row r="31">
          <cell r="B31">
            <v>2013</v>
          </cell>
          <cell r="D31">
            <v>15.161846876979288</v>
          </cell>
          <cell r="E31">
            <v>8.2434081992621842</v>
          </cell>
          <cell r="F31">
            <v>0.35013960760304963</v>
          </cell>
          <cell r="G31">
            <v>0.3254502762977064</v>
          </cell>
          <cell r="H31">
            <v>3.9604793462975549</v>
          </cell>
          <cell r="I31">
            <v>0.13867206842326082</v>
          </cell>
          <cell r="J31">
            <v>0.12889390975238987</v>
          </cell>
          <cell r="K31">
            <v>14.439854168551703</v>
          </cell>
          <cell r="L31">
            <v>8.2434081992621842</v>
          </cell>
          <cell r="M31">
            <v>5</v>
          </cell>
        </row>
        <row r="32">
          <cell r="B32">
            <v>2014</v>
          </cell>
          <cell r="D32">
            <v>15.750315789473682</v>
          </cell>
          <cell r="E32">
            <v>8.1828345395377688</v>
          </cell>
          <cell r="F32">
            <v>0.34190954010934982</v>
          </cell>
          <cell r="G32">
            <v>0.31780053407599818</v>
          </cell>
          <cell r="H32">
            <v>4.8046893884457331</v>
          </cell>
          <cell r="I32">
            <v>0.16427691391717539</v>
          </cell>
          <cell r="J32">
            <v>0.15269328537173349</v>
          </cell>
          <cell r="K32">
            <v>15.000300751879696</v>
          </cell>
          <cell r="L32">
            <v>8.1828345395377688</v>
          </cell>
          <cell r="M32">
            <v>5</v>
          </cell>
        </row>
        <row r="33">
          <cell r="B33">
            <v>2015</v>
          </cell>
          <cell r="D33">
            <v>14.83311460161331</v>
          </cell>
          <cell r="E33">
            <v>8.5282113738761023</v>
          </cell>
          <cell r="F33">
            <v>0.33323243041637024</v>
          </cell>
          <cell r="G33">
            <v>0.30973527186136973</v>
          </cell>
          <cell r="H33">
            <v>5.9399172105390399</v>
          </cell>
          <cell r="I33">
            <v>0.19793730485399505</v>
          </cell>
          <cell r="J33">
            <v>0.18398018720403383</v>
          </cell>
          <cell r="K33">
            <v>14.126775811060295</v>
          </cell>
          <cell r="L33">
            <v>8.5282113738761023</v>
          </cell>
          <cell r="M33">
            <v>5</v>
          </cell>
        </row>
        <row r="34">
          <cell r="B34">
            <v>2016</v>
          </cell>
          <cell r="D34">
            <v>15.302874347156653</v>
          </cell>
          <cell r="E34">
            <v>9.3354085990688223</v>
          </cell>
          <cell r="F34">
            <v>0.32408399601025673</v>
          </cell>
          <cell r="G34">
            <v>0.30123191936850779</v>
          </cell>
          <cell r="H34">
            <v>5.9104386222026815</v>
          </cell>
          <cell r="I34">
            <v>0.19154785668568011</v>
          </cell>
          <cell r="J34">
            <v>0.17804127704758727</v>
          </cell>
          <cell r="K34">
            <v>14.574166044911097</v>
          </cell>
          <cell r="L34">
            <v>9.3354085990688223</v>
          </cell>
          <cell r="M34">
            <v>5</v>
          </cell>
        </row>
        <row r="35">
          <cell r="B35">
            <v>2017</v>
          </cell>
          <cell r="D35">
            <v>16.329564273023724</v>
          </cell>
          <cell r="E35">
            <v>9.8757638514498822</v>
          </cell>
          <cell r="F35">
            <v>0.31443863539545719</v>
          </cell>
          <cell r="G35">
            <v>0.29226668033552106</v>
          </cell>
          <cell r="H35">
            <v>5.8922332804472166</v>
          </cell>
          <cell r="I35">
            <v>0.18527457921355212</v>
          </cell>
          <cell r="J35">
            <v>0.17221034606387853</v>
          </cell>
          <cell r="K35">
            <v>15.551965974308308</v>
          </cell>
          <cell r="L35">
            <v>9.8757638514498822</v>
          </cell>
          <cell r="M35">
            <v>5</v>
          </cell>
        </row>
        <row r="36">
          <cell r="B36">
            <v>2018</v>
          </cell>
          <cell r="D36">
            <v>17.081372193886278</v>
          </cell>
          <cell r="E36">
            <v>9.7845947524974868</v>
          </cell>
          <cell r="F36">
            <v>0.30426935645005021</v>
          </cell>
          <cell r="G36">
            <v>0.28281446593113641</v>
          </cell>
          <cell r="H36">
            <v>6.1161381451042116</v>
          </cell>
          <cell r="I36">
            <v>0.18609534173704623</v>
          </cell>
          <cell r="J36">
            <v>0.17297323430686989</v>
          </cell>
          <cell r="K36">
            <v>16.267973517986931</v>
          </cell>
          <cell r="L36">
            <v>9.7845947524974868</v>
          </cell>
          <cell r="M36">
            <v>5</v>
          </cell>
        </row>
        <row r="37">
          <cell r="B37">
            <v>2019</v>
          </cell>
          <cell r="D37">
            <v>17.586905696417769</v>
          </cell>
          <cell r="E37">
            <v>10.373001372382273</v>
          </cell>
          <cell r="F37">
            <v>0.29354770088946675</v>
          </cell>
          <cell r="G37">
            <v>0.27284882454469661</v>
          </cell>
          <cell r="H37">
            <v>6.3485513946181715</v>
          </cell>
          <cell r="I37">
            <v>0.18636026658687818</v>
          </cell>
          <cell r="J37">
            <v>0.17321947855831626</v>
          </cell>
          <cell r="K37">
            <v>16.749433996588351</v>
          </cell>
          <cell r="L37">
            <v>10.373001372382273</v>
          </cell>
          <cell r="M37">
            <v>5</v>
          </cell>
        </row>
        <row r="38">
          <cell r="B38">
            <v>2020</v>
          </cell>
          <cell r="D38">
            <v>17.922534677725054</v>
          </cell>
          <cell r="E38">
            <v>10.829994553309074</v>
          </cell>
          <cell r="F38">
            <v>0.2822436646272195</v>
          </cell>
          <cell r="G38">
            <v>0.26234186776247964</v>
          </cell>
          <cell r="H38">
            <v>6.5897963476136621</v>
          </cell>
          <cell r="I38">
            <v>0.18599282702975464</v>
          </cell>
          <cell r="J38">
            <v>0.17287794820073346</v>
          </cell>
          <cell r="K38">
            <v>17.069080645452431</v>
          </cell>
          <cell r="L38">
            <v>10.829994553309074</v>
          </cell>
          <cell r="M38">
            <v>5</v>
          </cell>
        </row>
        <row r="39">
          <cell r="B39">
            <v>2021</v>
          </cell>
          <cell r="D39">
            <v>18.015993431163526</v>
          </cell>
          <cell r="E39">
            <v>11.59179008754489</v>
          </cell>
          <cell r="F39">
            <v>0.27032561380977188</v>
          </cell>
          <cell r="G39">
            <v>0.25126419232318536</v>
          </cell>
          <cell r="H39">
            <v>13.775921033189494</v>
          </cell>
          <cell r="I39">
            <v>0.37239843090918967</v>
          </cell>
          <cell r="J39">
            <v>0.34613956719123395</v>
          </cell>
          <cell r="K39">
            <v>17.158088982060502</v>
          </cell>
          <cell r="L39">
            <v>11.59179008754489</v>
          </cell>
          <cell r="M39">
            <v>5</v>
          </cell>
        </row>
        <row r="40">
          <cell r="B40">
            <v>2022</v>
          </cell>
          <cell r="D40">
            <v>18.399081164260568</v>
          </cell>
          <cell r="E40">
            <v>11.84298430696037</v>
          </cell>
          <cell r="F40">
            <v>0.25776019629057634</v>
          </cell>
          <cell r="G40">
            <v>0.23958479783418951</v>
          </cell>
          <cell r="H40">
            <v>20.962045718765324</v>
          </cell>
          <cell r="I40">
            <v>0.54031810191209861</v>
          </cell>
          <cell r="J40">
            <v>0.50221874857214277</v>
          </cell>
          <cell r="K40">
            <v>17.522934442152923</v>
          </cell>
          <cell r="L40">
            <v>11.84298430696037</v>
          </cell>
          <cell r="M40">
            <v>5</v>
          </cell>
        </row>
        <row r="41">
          <cell r="B41">
            <v>2023</v>
          </cell>
          <cell r="D41">
            <v>18.280649015787233</v>
          </cell>
          <cell r="E41">
            <v>12.096913789820533</v>
          </cell>
          <cell r="F41">
            <v>0.24451224829554344</v>
          </cell>
          <cell r="G41">
            <v>0.22727100001829356</v>
          </cell>
          <cell r="H41">
            <v>28.148170404341155</v>
          </cell>
          <cell r="I41">
            <v>0.68825724309715319</v>
          </cell>
          <cell r="J41">
            <v>0.63972628364799489</v>
          </cell>
          <cell r="K41">
            <v>17.410141919797365</v>
          </cell>
          <cell r="L41">
            <v>12.096913789820533</v>
          </cell>
          <cell r="M41">
            <v>5</v>
          </cell>
        </row>
        <row r="42">
          <cell r="B42">
            <v>2024</v>
          </cell>
          <cell r="D42">
            <v>18.74649170118137</v>
          </cell>
          <cell r="E42">
            <v>12.939190035331855</v>
          </cell>
          <cell r="F42">
            <v>0.23054469601875033</v>
          </cell>
          <cell r="G42">
            <v>0.2142883392481974</v>
          </cell>
          <cell r="H42">
            <v>35.334295089916985</v>
          </cell>
          <cell r="I42">
            <v>0.81461343205417336</v>
          </cell>
          <cell r="J42">
            <v>0.75717274133240464</v>
          </cell>
          <cell r="K42">
            <v>17.853801620172732</v>
          </cell>
          <cell r="L42">
            <v>12.939190035331855</v>
          </cell>
          <cell r="M42">
            <v>5</v>
          </cell>
        </row>
        <row r="43">
          <cell r="B43">
            <v>2025</v>
          </cell>
          <cell r="D43">
            <v>19.587706905775164</v>
          </cell>
          <cell r="E43">
            <v>13.498850144315536</v>
          </cell>
          <cell r="F43">
            <v>0.21581845187300813</v>
          </cell>
          <cell r="G43">
            <v>0.2006004841127319</v>
          </cell>
          <cell r="H43">
            <v>42.520419775492819</v>
          </cell>
          <cell r="I43">
            <v>0.91766911689372999</v>
          </cell>
          <cell r="J43">
            <v>0.85296167916404397</v>
          </cell>
          <cell r="K43">
            <v>18.654958957881107</v>
          </cell>
          <cell r="L43">
            <v>13.498850144315536</v>
          </cell>
          <cell r="M43">
            <v>5</v>
          </cell>
        </row>
        <row r="44">
          <cell r="B44">
            <v>2026</v>
          </cell>
          <cell r="D44">
            <v>19.589708217510431</v>
          </cell>
          <cell r="E44">
            <v>13.588086920561578</v>
          </cell>
          <cell r="F44">
            <v>0.20029230510495072</v>
          </cell>
          <cell r="G44">
            <v>0.18616912974498623</v>
          </cell>
          <cell r="H44">
            <v>49.706544461068653</v>
          </cell>
          <cell r="I44">
            <v>0.99558383689091612</v>
          </cell>
          <cell r="J44">
            <v>0.92538241249476161</v>
          </cell>
          <cell r="K44">
            <v>18.656864969057551</v>
          </cell>
          <cell r="L44">
            <v>13.588086920561578</v>
          </cell>
          <cell r="M44">
            <v>5</v>
          </cell>
        </row>
        <row r="45">
          <cell r="B45">
            <v>2027</v>
          </cell>
          <cell r="D45">
            <v>20.053934796806068</v>
          </cell>
          <cell r="E45">
            <v>13.703416005912969</v>
          </cell>
          <cell r="F45">
            <v>0.18392280646853434</v>
          </cell>
          <cell r="G45">
            <v>0.17095389062780433</v>
          </cell>
          <cell r="H45">
            <v>56.892669146644486</v>
          </cell>
          <cell r="I45">
            <v>1.0463859376936648</v>
          </cell>
          <cell r="J45">
            <v>0.97260231388193197</v>
          </cell>
          <cell r="K45">
            <v>19.098985520767684</v>
          </cell>
          <cell r="L45">
            <v>13.703416005912969</v>
          </cell>
          <cell r="M45">
            <v>5</v>
          </cell>
        </row>
        <row r="46">
          <cell r="B46">
            <v>2028</v>
          </cell>
          <cell r="D46">
            <v>19.756060454851898</v>
          </cell>
          <cell r="E46">
            <v>13.224554232031451</v>
          </cell>
          <cell r="F46">
            <v>0.16666414663421397</v>
          </cell>
          <cell r="G46">
            <v>0.15491218757667324</v>
          </cell>
          <cell r="H46">
            <v>64.078793832220313</v>
          </cell>
          <cell r="I46">
            <v>1.0679637491396732</v>
          </cell>
          <cell r="J46">
            <v>0.99265861298238856</v>
          </cell>
          <cell r="K46">
            <v>18.815295671287522</v>
          </cell>
          <cell r="L46">
            <v>13.224554232031451</v>
          </cell>
          <cell r="M46">
            <v>5</v>
          </cell>
        </row>
        <row r="47">
          <cell r="B47">
            <v>2029</v>
          </cell>
          <cell r="D47">
            <v>19.443668703997442</v>
          </cell>
          <cell r="E47">
            <v>13.161716809389432</v>
          </cell>
          <cell r="F47">
            <v>0.14846802799352768</v>
          </cell>
          <cell r="G47">
            <v>0.13799912858372765</v>
          </cell>
          <cell r="H47">
            <v>71.264918517796147</v>
          </cell>
          <cell r="I47">
            <v>1.0580561917456628</v>
          </cell>
          <cell r="J47">
            <v>0.98344966540462253</v>
          </cell>
          <cell r="K47">
            <v>18.5177797180928</v>
          </cell>
          <cell r="L47">
            <v>13.161716809389432</v>
          </cell>
          <cell r="M47">
            <v>5</v>
          </cell>
        </row>
        <row r="48">
          <cell r="B48">
            <v>2030</v>
          </cell>
          <cell r="D48">
            <v>19.506894571640117</v>
          </cell>
          <cell r="E48">
            <v>13.300140805461169</v>
          </cell>
          <cell r="F48">
            <v>0.12928352950034155</v>
          </cell>
          <cell r="G48">
            <v>0.12016738318942002</v>
          </cell>
          <cell r="H48">
            <v>78.451043203371967</v>
          </cell>
          <cell r="I48">
            <v>1.0142427758315711</v>
          </cell>
          <cell r="J48">
            <v>0.94272565702293443</v>
          </cell>
          <cell r="K48">
            <v>18.577994830133445</v>
          </cell>
          <cell r="L48">
            <v>13.300140805461169</v>
          </cell>
          <cell r="M48">
            <v>5</v>
          </cell>
        </row>
        <row r="49">
          <cell r="B49">
            <v>2031</v>
          </cell>
          <cell r="D49">
            <v>19.506894571640117</v>
          </cell>
          <cell r="E49">
            <v>13.300140805461169</v>
          </cell>
          <cell r="F49">
            <v>0.1178380217420003</v>
          </cell>
          <cell r="G49">
            <v>0.10952893046532078</v>
          </cell>
          <cell r="H49">
            <v>85.735782929399406</v>
          </cell>
          <cell r="I49">
            <v>1.0102935052901985</v>
          </cell>
          <cell r="J49">
            <v>0.93905486068640232</v>
          </cell>
          <cell r="K49">
            <v>18.577994830133445</v>
          </cell>
          <cell r="L49">
            <v>13.300140805461169</v>
          </cell>
          <cell r="M49">
            <v>5</v>
          </cell>
        </row>
        <row r="50">
          <cell r="B50">
            <v>2032</v>
          </cell>
          <cell r="D50">
            <v>19.506894571640117</v>
          </cell>
          <cell r="E50">
            <v>13.300140805461169</v>
          </cell>
          <cell r="F50">
            <v>0.10740578805153561</v>
          </cell>
          <cell r="G50">
            <v>9.9832302996619632E-2</v>
          </cell>
          <cell r="H50">
            <v>93.020522655426802</v>
          </cell>
          <cell r="I50">
            <v>0.99909425407718389</v>
          </cell>
          <cell r="J50">
            <v>0.92864530026404901</v>
          </cell>
          <cell r="K50">
            <v>18.577994830133445</v>
          </cell>
          <cell r="L50">
            <v>13.300140805461169</v>
          </cell>
          <cell r="M50">
            <v>5</v>
          </cell>
        </row>
        <row r="51">
          <cell r="B51">
            <v>2033</v>
          </cell>
          <cell r="D51">
            <v>19.506894571640117</v>
          </cell>
          <cell r="E51">
            <v>13.300140805461169</v>
          </cell>
          <cell r="F51">
            <v>9.7897122986575755E-2</v>
          </cell>
          <cell r="G51">
            <v>9.099412072470181E-2</v>
          </cell>
          <cell r="H51">
            <v>100.3052623814542</v>
          </cell>
          <cell r="I51">
            <v>0.98195966075579721</v>
          </cell>
          <cell r="J51">
            <v>0.9127189154460934</v>
          </cell>
          <cell r="K51">
            <v>18.577994830133445</v>
          </cell>
          <cell r="L51">
            <v>13.300140805461169</v>
          </cell>
          <cell r="M51">
            <v>5</v>
          </cell>
        </row>
        <row r="52">
          <cell r="B52">
            <v>2034</v>
          </cell>
          <cell r="D52">
            <v>19.506894571640117</v>
          </cell>
          <cell r="E52">
            <v>13.300140805461169</v>
          </cell>
          <cell r="F52">
            <v>8.9230262753160025E-2</v>
          </cell>
          <cell r="G52">
            <v>8.2938385251334623E-2</v>
          </cell>
          <cell r="H52">
            <v>107.59000210748161</v>
          </cell>
          <cell r="I52">
            <v>0.96002841576636244</v>
          </cell>
          <cell r="J52">
            <v>0.89233410439822136</v>
          </cell>
          <cell r="K52">
            <v>18.577994830133445</v>
          </cell>
          <cell r="L52">
            <v>13.300140805461169</v>
          </cell>
          <cell r="M52">
            <v>5</v>
          </cell>
        </row>
        <row r="53">
          <cell r="B53">
            <v>2035</v>
          </cell>
          <cell r="D53">
            <v>19.506894571640117</v>
          </cell>
          <cell r="E53">
            <v>13.300140805461169</v>
          </cell>
          <cell r="F53">
            <v>8.1330682129338777E-2</v>
          </cell>
          <cell r="G53">
            <v>7.5595826338167443E-2</v>
          </cell>
          <cell r="H53">
            <v>114.87474183350901</v>
          </cell>
          <cell r="I53">
            <v>0.9342841112750977</v>
          </cell>
          <cell r="J53">
            <v>0.86840510342877653</v>
          </cell>
          <cell r="K53">
            <v>18.577994830133445</v>
          </cell>
          <cell r="L53">
            <v>13.300140805461169</v>
          </cell>
          <cell r="M53">
            <v>5</v>
          </cell>
        </row>
        <row r="54">
          <cell r="B54">
            <v>2036</v>
          </cell>
          <cell r="D54">
            <v>19.506894571640117</v>
          </cell>
          <cell r="E54">
            <v>13.300140805461169</v>
          </cell>
          <cell r="F54">
            <v>7.4130453632327689E-2</v>
          </cell>
          <cell r="G54">
            <v>6.8903306260817407E-2</v>
          </cell>
          <cell r="H54">
            <v>122.1594815595364</v>
          </cell>
          <cell r="I54">
            <v>0.90557377834984032</v>
          </cell>
          <cell r="J54">
            <v>0.84171921705594133</v>
          </cell>
          <cell r="K54">
            <v>18.577994830133445</v>
          </cell>
          <cell r="L54">
            <v>13.300140805461169</v>
          </cell>
          <cell r="M54">
            <v>5</v>
          </cell>
        </row>
        <row r="55">
          <cell r="B55">
            <v>2037</v>
          </cell>
          <cell r="D55">
            <v>19.506894571640117</v>
          </cell>
          <cell r="E55">
            <v>13.300140805461169</v>
          </cell>
          <cell r="F55">
            <v>6.7567663418776791E-2</v>
          </cell>
          <cell r="G55">
            <v>6.28032768956579E-2</v>
          </cell>
          <cell r="H55">
            <v>129.4442212855638</v>
          </cell>
          <cell r="I55">
            <v>0.87462435753286383</v>
          </cell>
          <cell r="J55">
            <v>0.81295212719400778</v>
          </cell>
          <cell r="K55">
            <v>18.577994830133445</v>
          </cell>
          <cell r="L55">
            <v>13.300140805461169</v>
          </cell>
          <cell r="M55">
            <v>5</v>
          </cell>
        </row>
        <row r="56">
          <cell r="B56">
            <v>2038</v>
          </cell>
          <cell r="D56">
            <v>19.506894571640117</v>
          </cell>
          <cell r="E56">
            <v>13.300140805461169</v>
          </cell>
          <cell r="F56">
            <v>6.1585878895555238E-2</v>
          </cell>
          <cell r="G56">
            <v>5.7243284870868646E-2</v>
          </cell>
          <cell r="H56">
            <v>136.7289610115912</v>
          </cell>
          <cell r="I56">
            <v>0.84205732343749484</v>
          </cell>
          <cell r="J56">
            <v>0.78268148652844072</v>
          </cell>
          <cell r="K56">
            <v>18.577994830133445</v>
          </cell>
          <cell r="L56">
            <v>13.300140805461169</v>
          </cell>
          <cell r="M56">
            <v>5</v>
          </cell>
        </row>
        <row r="57">
          <cell r="B57">
            <v>2039</v>
          </cell>
          <cell r="D57">
            <v>19.506894571640117</v>
          </cell>
          <cell r="E57">
            <v>13.300140805461169</v>
          </cell>
          <cell r="F57">
            <v>5.6133663463105429E-2</v>
          </cell>
          <cell r="G57">
            <v>5.2175520526604402E-2</v>
          </cell>
          <cell r="H57">
            <v>144.01370073761862</v>
          </cell>
          <cell r="I57">
            <v>0.80840166112818623</v>
          </cell>
          <cell r="J57">
            <v>0.75139897989478832</v>
          </cell>
          <cell r="K57">
            <v>18.577994830133445</v>
          </cell>
          <cell r="L57">
            <v>13.300140805461169</v>
          </cell>
          <cell r="M57">
            <v>5</v>
          </cell>
        </row>
        <row r="58">
          <cell r="B58">
            <v>2040</v>
          </cell>
          <cell r="D58">
            <v>19.506894571640117</v>
          </cell>
          <cell r="E58">
            <v>13.300140805461169</v>
          </cell>
          <cell r="F58">
            <v>5.1164134218706234E-2</v>
          </cell>
          <cell r="G58">
            <v>4.7556406805848737E-2</v>
          </cell>
          <cell r="H58">
            <v>151.29844046364602</v>
          </cell>
          <cell r="I58">
            <v>0.77410537149629188</v>
          </cell>
          <cell r="J58">
            <v>0.71952101837796356</v>
          </cell>
          <cell r="K58">
            <v>18.577994830133445</v>
          </cell>
          <cell r="L58">
            <v>13.300140805461169</v>
          </cell>
          <cell r="M58">
            <v>5</v>
          </cell>
        </row>
        <row r="59">
          <cell r="B59">
            <v>2041</v>
          </cell>
          <cell r="D59">
            <v>19.506894571640117</v>
          </cell>
          <cell r="E59">
            <v>13.300140805461169</v>
          </cell>
          <cell r="F59">
            <v>4.5500650910786249E-2</v>
          </cell>
          <cell r="G59">
            <v>4.2292271679897471E-2</v>
          </cell>
          <cell r="H59">
            <v>158.58318018967341</v>
          </cell>
          <cell r="I59">
            <v>0.72156379221326428</v>
          </cell>
          <cell r="J59">
            <v>0.67068429404438024</v>
          </cell>
          <cell r="K59">
            <v>18.577994830133445</v>
          </cell>
          <cell r="L59">
            <v>13.300140805461169</v>
          </cell>
          <cell r="M59">
            <v>5</v>
          </cell>
        </row>
        <row r="60">
          <cell r="B60">
            <v>2042</v>
          </cell>
          <cell r="D60">
            <v>19.506894571640117</v>
          </cell>
          <cell r="E60">
            <v>13.300140805461169</v>
          </cell>
          <cell r="F60">
            <v>4.5115268018324731E-2</v>
          </cell>
          <cell r="G60">
            <v>4.1934063222160804E-2</v>
          </cell>
          <cell r="H60">
            <v>165.86791991570081</v>
          </cell>
          <cell r="I60">
            <v>0.74831756626388646</v>
          </cell>
          <cell r="J60">
            <v>0.69555158402733031</v>
          </cell>
          <cell r="K60">
            <v>18.577994830133445</v>
          </cell>
          <cell r="L60">
            <v>13.300140805461169</v>
          </cell>
          <cell r="M60">
            <v>5</v>
          </cell>
        </row>
        <row r="61">
          <cell r="B61">
            <v>2043</v>
          </cell>
          <cell r="D61">
            <v>19.506894571640117</v>
          </cell>
          <cell r="E61">
            <v>13.300140805461169</v>
          </cell>
          <cell r="F61">
            <v>4.0107605468335444E-2</v>
          </cell>
          <cell r="G61">
            <v>3.7279505082747688E-2</v>
          </cell>
          <cell r="H61">
            <v>173.15265964172821</v>
          </cell>
          <cell r="I61">
            <v>0.6944738558703405</v>
          </cell>
          <cell r="J61">
            <v>0.64550454552050873</v>
          </cell>
          <cell r="K61">
            <v>18.577994830133445</v>
          </cell>
          <cell r="L61">
            <v>13.300140805461169</v>
          </cell>
          <cell r="M61">
            <v>5</v>
          </cell>
        </row>
        <row r="62">
          <cell r="B62">
            <v>2044</v>
          </cell>
          <cell r="D62">
            <v>19.506894571640117</v>
          </cell>
          <cell r="E62">
            <v>13.300140805461169</v>
          </cell>
          <cell r="F62">
            <v>3.5455549340826245E-2</v>
          </cell>
          <cell r="G62">
            <v>3.2955478553973107E-2</v>
          </cell>
          <cell r="H62">
            <v>180.4373993677556</v>
          </cell>
          <cell r="I62">
            <v>0.63975071162138286</v>
          </cell>
          <cell r="J62">
            <v>0.59464008451987505</v>
          </cell>
          <cell r="K62">
            <v>18.577994830133445</v>
          </cell>
          <cell r="L62">
            <v>13.300140805461169</v>
          </cell>
          <cell r="M62">
            <v>5</v>
          </cell>
        </row>
        <row r="63">
          <cell r="B63">
            <v>2045</v>
          </cell>
          <cell r="D63">
            <v>19.506894571640117</v>
          </cell>
          <cell r="E63">
            <v>13.300140805461169</v>
          </cell>
          <cell r="F63">
            <v>3.5988789019235468E-2</v>
          </cell>
          <cell r="G63">
            <v>3.3451117998648347E-2</v>
          </cell>
          <cell r="H63">
            <v>187.722139093783</v>
          </cell>
          <cell r="I63">
            <v>0.67558924580857305</v>
          </cell>
          <cell r="J63">
            <v>0.62795154257848129</v>
          </cell>
          <cell r="K63">
            <v>18.577994830133445</v>
          </cell>
          <cell r="L63">
            <v>13.300140805461169</v>
          </cell>
          <cell r="M63">
            <v>5</v>
          </cell>
        </row>
        <row r="64">
          <cell r="B64">
            <v>2046</v>
          </cell>
          <cell r="D64">
            <v>19.506894571640117</v>
          </cell>
          <cell r="E64">
            <v>13.300140805461169</v>
          </cell>
          <cell r="F64">
            <v>3.2768006011806065E-2</v>
          </cell>
          <cell r="G64">
            <v>3.0457441485332561E-2</v>
          </cell>
          <cell r="H64">
            <v>195.0068788198104</v>
          </cell>
          <cell r="I64">
            <v>0.63899865775110842</v>
          </cell>
          <cell r="J64">
            <v>0.59394106008917125</v>
          </cell>
          <cell r="K64">
            <v>18.577994830133445</v>
          </cell>
          <cell r="L64">
            <v>13.300140805461169</v>
          </cell>
          <cell r="M64">
            <v>5</v>
          </cell>
        </row>
        <row r="65">
          <cell r="B65">
            <v>2047</v>
          </cell>
          <cell r="D65">
            <v>19.506894571640117</v>
          </cell>
          <cell r="E65">
            <v>13.300140805461169</v>
          </cell>
          <cell r="F65">
            <v>3.0334646758784636E-2</v>
          </cell>
          <cell r="G65">
            <v>2.8195665256562641E-2</v>
          </cell>
          <cell r="H65">
            <v>202.29161854583782</v>
          </cell>
          <cell r="I65">
            <v>0.61364447908507969</v>
          </cell>
          <cell r="J65">
            <v>0.57037467607267023</v>
          </cell>
          <cell r="K65">
            <v>18.577994830133445</v>
          </cell>
          <cell r="L65">
            <v>13.300140805461169</v>
          </cell>
          <cell r="M65">
            <v>5</v>
          </cell>
        </row>
        <row r="66">
          <cell r="B66">
            <v>2048</v>
          </cell>
          <cell r="D66">
            <v>19.506894571640117</v>
          </cell>
          <cell r="E66">
            <v>13.300140805461169</v>
          </cell>
          <cell r="F66">
            <v>3.0674239846541291E-2</v>
          </cell>
          <cell r="G66">
            <v>2.8511312677874913E-2</v>
          </cell>
          <cell r="H66">
            <v>209.57635827186522</v>
          </cell>
          <cell r="I66">
            <v>0.64285954797958611</v>
          </cell>
          <cell r="J66">
            <v>0.59752970805794858</v>
          </cell>
          <cell r="K66">
            <v>18.577994830133445</v>
          </cell>
          <cell r="L66">
            <v>13.300140805461169</v>
          </cell>
          <cell r="M66">
            <v>5</v>
          </cell>
        </row>
        <row r="67">
          <cell r="B67">
            <v>2049</v>
          </cell>
          <cell r="D67">
            <v>19.506894571640117</v>
          </cell>
          <cell r="E67">
            <v>13.300140805461169</v>
          </cell>
          <cell r="F67">
            <v>2.7771195345842627E-2</v>
          </cell>
          <cell r="G67">
            <v>2.5812970032994747E-2</v>
          </cell>
          <cell r="H67">
            <v>216.86109799789261</v>
          </cell>
          <cell r="I67">
            <v>0.60224919154133971</v>
          </cell>
          <cell r="J67">
            <v>0.55978290239419393</v>
          </cell>
          <cell r="K67">
            <v>18.577994830133445</v>
          </cell>
          <cell r="L67">
            <v>13.300140805461169</v>
          </cell>
          <cell r="M67">
            <v>5</v>
          </cell>
        </row>
        <row r="68">
          <cell r="B68">
            <v>2050</v>
          </cell>
          <cell r="D68">
            <v>19.506894571640117</v>
          </cell>
          <cell r="E68">
            <v>13.300140805461169</v>
          </cell>
          <cell r="F68">
            <v>2.752159390301193E-2</v>
          </cell>
          <cell r="G68">
            <v>2.5580968691902111E-2</v>
          </cell>
          <cell r="H68">
            <v>224.14583772392001</v>
          </cell>
          <cell r="I68">
            <v>0.61688507208881382</v>
          </cell>
          <cell r="J68">
            <v>0.57338676572357694</v>
          </cell>
          <cell r="K68">
            <v>18.577994830133445</v>
          </cell>
          <cell r="L68">
            <v>13.300140805461169</v>
          </cell>
          <cell r="M68">
            <v>5</v>
          </cell>
        </row>
        <row r="69">
          <cell r="B69">
            <v>2051</v>
          </cell>
          <cell r="D69">
            <v>19.506894571640117</v>
          </cell>
          <cell r="E69">
            <v>13.300140805461169</v>
          </cell>
          <cell r="F69">
            <v>2.752159390301193E-2</v>
          </cell>
          <cell r="G69">
            <v>2.5580968691902111E-2</v>
          </cell>
          <cell r="H69">
            <v>232.07252582517495</v>
          </cell>
          <cell r="I69">
            <v>0.63870058118067141</v>
          </cell>
          <cell r="J69">
            <v>0.59366400173844447</v>
          </cell>
          <cell r="K69">
            <v>18.577994830133445</v>
          </cell>
          <cell r="L69">
            <v>13.300140805461169</v>
          </cell>
          <cell r="M69">
            <v>5</v>
          </cell>
        </row>
        <row r="70">
          <cell r="B70">
            <v>2052</v>
          </cell>
          <cell r="D70">
            <v>19.506894571640117</v>
          </cell>
          <cell r="E70">
            <v>13.300140805461169</v>
          </cell>
          <cell r="F70">
            <v>2.752159390301193E-2</v>
          </cell>
          <cell r="G70">
            <v>2.5580968691902111E-2</v>
          </cell>
          <cell r="H70">
            <v>239.75151088944705</v>
          </cell>
          <cell r="I70">
            <v>0.65983437203329043</v>
          </cell>
          <cell r="J70">
            <v>0.61330758938991736</v>
          </cell>
          <cell r="K70">
            <v>18.577994830133445</v>
          </cell>
          <cell r="L70">
            <v>13.300140805461169</v>
          </cell>
          <cell r="M70">
            <v>5</v>
          </cell>
        </row>
        <row r="71">
          <cell r="B71">
            <v>2053</v>
          </cell>
          <cell r="D71">
            <v>19.506894571640117</v>
          </cell>
          <cell r="E71">
            <v>13.300140805461169</v>
          </cell>
          <cell r="F71">
            <v>2.752159390301193E-2</v>
          </cell>
          <cell r="G71">
            <v>2.5580968691902111E-2</v>
          </cell>
          <cell r="H71">
            <v>247.46784922916851</v>
          </cell>
          <cell r="I71">
            <v>0.68107096505369591</v>
          </cell>
          <cell r="J71">
            <v>0.63304673033837111</v>
          </cell>
          <cell r="K71">
            <v>18.577994830133445</v>
          </cell>
          <cell r="L71">
            <v>13.300140805461169</v>
          </cell>
          <cell r="M71">
            <v>5</v>
          </cell>
        </row>
        <row r="72">
          <cell r="B72">
            <v>2054</v>
          </cell>
          <cell r="D72">
            <v>19.506894571640117</v>
          </cell>
          <cell r="E72">
            <v>13.300140805461169</v>
          </cell>
          <cell r="F72">
            <v>2.752159390301193E-2</v>
          </cell>
          <cell r="G72">
            <v>2.5580968691902111E-2</v>
          </cell>
          <cell r="H72">
            <v>255.18688247748193</v>
          </cell>
          <cell r="I72">
            <v>0.70231497489208883</v>
          </cell>
          <cell r="J72">
            <v>0.65279276512405693</v>
          </cell>
          <cell r="K72">
            <v>18.577994830133445</v>
          </cell>
          <cell r="L72">
            <v>13.300140805461169</v>
          </cell>
          <cell r="M72">
            <v>5</v>
          </cell>
        </row>
        <row r="73">
          <cell r="B73">
            <v>2055</v>
          </cell>
          <cell r="D73">
            <v>19.506894571640117</v>
          </cell>
          <cell r="E73">
            <v>13.300140805461169</v>
          </cell>
          <cell r="F73">
            <v>2.752159390301193E-2</v>
          </cell>
          <cell r="G73">
            <v>2.5580968691902111E-2</v>
          </cell>
          <cell r="H73">
            <v>262.65987056134873</v>
          </cell>
          <cell r="I73">
            <v>0.72288182922071176</v>
          </cell>
          <cell r="J73">
            <v>0.67190939254489224</v>
          </cell>
          <cell r="K73">
            <v>18.577994830133445</v>
          </cell>
          <cell r="L73">
            <v>13.300140805461169</v>
          </cell>
          <cell r="M73">
            <v>5</v>
          </cell>
        </row>
        <row r="74">
          <cell r="B74">
            <v>2056</v>
          </cell>
          <cell r="D74">
            <v>19.506894571640117</v>
          </cell>
          <cell r="E74">
            <v>13.300140805461169</v>
          </cell>
          <cell r="F74">
            <v>2.752159390301193E-2</v>
          </cell>
          <cell r="G74">
            <v>2.5580968691902111E-2</v>
          </cell>
          <cell r="H74">
            <v>270.17720578040331</v>
          </cell>
          <cell r="I74">
            <v>0.74357073393387474</v>
          </cell>
          <cell r="J74">
            <v>0.69113946423340911</v>
          </cell>
          <cell r="K74">
            <v>18.577994830133445</v>
          </cell>
          <cell r="L74">
            <v>13.300140805461169</v>
          </cell>
          <cell r="M74">
            <v>5</v>
          </cell>
        </row>
        <row r="75">
          <cell r="B75">
            <v>2057</v>
          </cell>
          <cell r="D75">
            <v>19.506894571640117</v>
          </cell>
          <cell r="E75">
            <v>13.300140805461169</v>
          </cell>
          <cell r="F75">
            <v>2.752159390301193E-2</v>
          </cell>
          <cell r="G75">
            <v>2.5580968691902111E-2</v>
          </cell>
          <cell r="H75">
            <v>277.42091025197919</v>
          </cell>
          <cell r="I75">
            <v>0.76350656321588906</v>
          </cell>
          <cell r="J75">
            <v>0.70966956196348652</v>
          </cell>
          <cell r="K75">
            <v>18.577994830133445</v>
          </cell>
          <cell r="L75">
            <v>13.300140805461169</v>
          </cell>
          <cell r="M75">
            <v>5</v>
          </cell>
        </row>
        <row r="76">
          <cell r="B76">
            <v>2058</v>
          </cell>
          <cell r="D76">
            <v>19.506894571640117</v>
          </cell>
          <cell r="E76">
            <v>13.300140805461169</v>
          </cell>
          <cell r="F76">
            <v>2.752159390301193E-2</v>
          </cell>
          <cell r="G76">
            <v>2.5580968691902111E-2</v>
          </cell>
          <cell r="H76">
            <v>284.49233454547033</v>
          </cell>
          <cell r="I76">
            <v>0.78296824998802461</v>
          </cell>
          <cell r="J76">
            <v>0.72775895030938176</v>
          </cell>
          <cell r="K76">
            <v>18.577994830133445</v>
          </cell>
          <cell r="L76">
            <v>13.300140805461169</v>
          </cell>
          <cell r="M76">
            <v>5</v>
          </cell>
        </row>
        <row r="77">
          <cell r="B77">
            <v>2059</v>
          </cell>
          <cell r="D77">
            <v>19.506894571640117</v>
          </cell>
          <cell r="E77">
            <v>13.300140805461169</v>
          </cell>
          <cell r="F77">
            <v>2.752159390301193E-2</v>
          </cell>
          <cell r="G77">
            <v>2.5580968691902111E-2</v>
          </cell>
          <cell r="H77">
            <v>291.44510209542443</v>
          </cell>
          <cell r="I77">
            <v>0.80210337448921221</v>
          </cell>
          <cell r="J77">
            <v>0.74554480321112671</v>
          </cell>
          <cell r="K77">
            <v>18.577994830133445</v>
          </cell>
          <cell r="L77">
            <v>13.300140805461169</v>
          </cell>
          <cell r="M77">
            <v>5</v>
          </cell>
        </row>
        <row r="78">
          <cell r="B78">
            <v>2060</v>
          </cell>
          <cell r="D78">
            <v>19.506894571640117</v>
          </cell>
          <cell r="E78">
            <v>13.300140805461169</v>
          </cell>
          <cell r="F78">
            <v>2.752159390301193E-2</v>
          </cell>
          <cell r="G78">
            <v>2.5580968691902111E-2</v>
          </cell>
          <cell r="H78">
            <v>298.22304312189692</v>
          </cell>
          <cell r="I78">
            <v>0.82075734853212623</v>
          </cell>
          <cell r="J78">
            <v>0.76288343293050187</v>
          </cell>
          <cell r="K78">
            <v>18.577994830133445</v>
          </cell>
          <cell r="L78">
            <v>13.300140805461169</v>
          </cell>
          <cell r="M78">
            <v>5</v>
          </cell>
        </row>
        <row r="79">
          <cell r="B79">
            <v>2061</v>
          </cell>
          <cell r="D79">
            <v>19.506894571640117</v>
          </cell>
          <cell r="E79">
            <v>13.300140805461169</v>
          </cell>
          <cell r="F79">
            <v>2.752159390301193E-2</v>
          </cell>
          <cell r="G79">
            <v>2.5580968691902111E-2</v>
          </cell>
          <cell r="H79">
            <v>303.60262697160016</v>
          </cell>
          <cell r="I79">
            <v>0.83556282073999966</v>
          </cell>
          <cell r="J79">
            <v>0.7766449295339739</v>
          </cell>
          <cell r="K79">
            <v>18.577994830133445</v>
          </cell>
          <cell r="L79">
            <v>13.300140805461169</v>
          </cell>
          <cell r="M79">
            <v>5</v>
          </cell>
        </row>
        <row r="80">
          <cell r="B80">
            <v>2062</v>
          </cell>
          <cell r="D80">
            <v>19.506894571640117</v>
          </cell>
          <cell r="E80">
            <v>13.300140805461169</v>
          </cell>
          <cell r="F80">
            <v>2.752159390301193E-2</v>
          </cell>
          <cell r="G80">
            <v>2.5580968691902111E-2</v>
          </cell>
          <cell r="H80">
            <v>308.94972406634645</v>
          </cell>
          <cell r="I80">
            <v>0.85027888422015785</v>
          </cell>
          <cell r="J80">
            <v>0.79032332187130039</v>
          </cell>
          <cell r="K80">
            <v>18.577994830133445</v>
          </cell>
          <cell r="L80">
            <v>13.300140805461169</v>
          </cell>
          <cell r="M80">
            <v>5</v>
          </cell>
        </row>
        <row r="81">
          <cell r="B81">
            <v>2063</v>
          </cell>
          <cell r="D81">
            <v>19.506894571640117</v>
          </cell>
          <cell r="E81">
            <v>13.300140805461169</v>
          </cell>
          <cell r="F81">
            <v>2.752159390301193E-2</v>
          </cell>
          <cell r="G81">
            <v>2.5580968691902111E-2</v>
          </cell>
          <cell r="H81">
            <v>313.75514982573219</v>
          </cell>
          <cell r="I81">
            <v>0.86350418184824651</v>
          </cell>
          <cell r="J81">
            <v>0.80261606646151107</v>
          </cell>
          <cell r="K81">
            <v>18.577994830133445</v>
          </cell>
          <cell r="L81">
            <v>13.300140805461169</v>
          </cell>
          <cell r="M81">
            <v>5</v>
          </cell>
        </row>
        <row r="82">
          <cell r="B82">
            <v>2064</v>
          </cell>
          <cell r="D82">
            <v>19.506894571640117</v>
          </cell>
          <cell r="E82">
            <v>13.300140805461169</v>
          </cell>
          <cell r="F82">
            <v>2.752159390301193E-2</v>
          </cell>
          <cell r="G82">
            <v>2.5580968691902111E-2</v>
          </cell>
          <cell r="H82">
            <v>318.30282590354665</v>
          </cell>
          <cell r="I82">
            <v>0.8760201112698518</v>
          </cell>
          <cell r="J82">
            <v>0.81424946239825946</v>
          </cell>
          <cell r="K82">
            <v>18.577994830133445</v>
          </cell>
          <cell r="L82">
            <v>13.300140805461169</v>
          </cell>
          <cell r="M82">
            <v>5</v>
          </cell>
        </row>
        <row r="83">
          <cell r="B83">
            <v>2065</v>
          </cell>
          <cell r="D83">
            <v>19.506894571640117</v>
          </cell>
          <cell r="E83">
            <v>13.300140805461169</v>
          </cell>
          <cell r="F83">
            <v>2.752159390301193E-2</v>
          </cell>
          <cell r="G83">
            <v>2.5580968691902111E-2</v>
          </cell>
          <cell r="H83">
            <v>322.30251253068576</v>
          </cell>
          <cell r="I83">
            <v>0.88702788637899466</v>
          </cell>
          <cell r="J83">
            <v>0.82448104823688606</v>
          </cell>
          <cell r="K83">
            <v>18.577994830133445</v>
          </cell>
          <cell r="L83">
            <v>13.300140805461169</v>
          </cell>
          <cell r="M83">
            <v>5</v>
          </cell>
        </row>
        <row r="84">
          <cell r="B84">
            <v>2066</v>
          </cell>
          <cell r="D84">
            <v>19.506894571640117</v>
          </cell>
          <cell r="E84">
            <v>13.300140805461169</v>
          </cell>
          <cell r="F84">
            <v>2.752159390301193E-2</v>
          </cell>
          <cell r="G84">
            <v>2.5580968691902111E-2</v>
          </cell>
          <cell r="H84">
            <v>326.24711378266528</v>
          </cell>
          <cell r="I84">
            <v>0.89788405775562397</v>
          </cell>
          <cell r="J84">
            <v>0.83457172034977867</v>
          </cell>
          <cell r="K84">
            <v>18.577994830133445</v>
          </cell>
          <cell r="L84">
            <v>13.300140805461169</v>
          </cell>
          <cell r="M84">
            <v>5</v>
          </cell>
        </row>
        <row r="85">
          <cell r="B85">
            <v>2067</v>
          </cell>
          <cell r="D85">
            <v>19.506894571640117</v>
          </cell>
          <cell r="E85">
            <v>13.300140805461169</v>
          </cell>
          <cell r="F85">
            <v>2.752159390301193E-2</v>
          </cell>
          <cell r="G85">
            <v>2.5580968691902111E-2</v>
          </cell>
          <cell r="H85">
            <v>329.54048920821975</v>
          </cell>
          <cell r="I85">
            <v>0.90694795185885102</v>
          </cell>
          <cell r="J85">
            <v>0.84299649371495755</v>
          </cell>
          <cell r="K85">
            <v>18.577994830133445</v>
          </cell>
          <cell r="L85">
            <v>13.300140805461169</v>
          </cell>
          <cell r="M85">
            <v>5</v>
          </cell>
        </row>
        <row r="86">
          <cell r="B86">
            <v>2068</v>
          </cell>
          <cell r="D86">
            <v>19.506894571640117</v>
          </cell>
          <cell r="E86">
            <v>13.300140805461169</v>
          </cell>
          <cell r="F86">
            <v>2.752159390301193E-2</v>
          </cell>
          <cell r="G86">
            <v>2.5580968691902111E-2</v>
          </cell>
          <cell r="H86">
            <v>332.55222881021126</v>
          </cell>
          <cell r="I86">
            <v>0.91523673928561389</v>
          </cell>
          <cell r="J86">
            <v>0.85070081536162812</v>
          </cell>
          <cell r="K86">
            <v>18.577994830133445</v>
          </cell>
          <cell r="L86">
            <v>13.300140805461169</v>
          </cell>
          <cell r="M86">
            <v>5</v>
          </cell>
        </row>
        <row r="87">
          <cell r="B87">
            <v>2069</v>
          </cell>
          <cell r="D87">
            <v>19.506894571640117</v>
          </cell>
          <cell r="E87">
            <v>13.300140805461169</v>
          </cell>
          <cell r="F87">
            <v>2.752159390301193E-2</v>
          </cell>
          <cell r="G87">
            <v>2.5580968691902111E-2</v>
          </cell>
          <cell r="H87">
            <v>335.10687856414216</v>
          </cell>
          <cell r="I87">
            <v>0.92226754259482535</v>
          </cell>
          <cell r="J87">
            <v>0.85723585689903636</v>
          </cell>
          <cell r="K87">
            <v>18.577994830133445</v>
          </cell>
          <cell r="L87">
            <v>13.300140805461169</v>
          </cell>
          <cell r="M87">
            <v>5</v>
          </cell>
        </row>
        <row r="88">
          <cell r="B88">
            <v>2070</v>
          </cell>
          <cell r="D88">
            <v>19.506894571640117</v>
          </cell>
          <cell r="E88">
            <v>13.300140805461169</v>
          </cell>
          <cell r="F88">
            <v>2.752159390301193E-2</v>
          </cell>
          <cell r="G88">
            <v>2.5580968691902111E-2</v>
          </cell>
          <cell r="H88">
            <v>337.31013709832303</v>
          </cell>
          <cell r="I88">
            <v>0.92833126125893251</v>
          </cell>
          <cell r="J88">
            <v>0.86287200565734101</v>
          </cell>
          <cell r="K88">
            <v>18.577994830133445</v>
          </cell>
          <cell r="L88">
            <v>13.300140805461169</v>
          </cell>
          <cell r="M88">
            <v>5</v>
          </cell>
        </row>
        <row r="89">
          <cell r="B89">
            <v>2071</v>
          </cell>
          <cell r="D89">
            <v>19.506894571640117</v>
          </cell>
          <cell r="E89">
            <v>13.300140805461169</v>
          </cell>
          <cell r="F89">
            <v>2.752159390301193E-2</v>
          </cell>
          <cell r="G89">
            <v>2.5580968691902111E-2</v>
          </cell>
          <cell r="H89">
            <v>339.4985936372475</v>
          </cell>
          <cell r="I89">
            <v>0.93435424247279963</v>
          </cell>
          <cell r="J89">
            <v>0.86847028947792249</v>
          </cell>
          <cell r="K89">
            <v>18.577994830133445</v>
          </cell>
          <cell r="L89">
            <v>13.300140805461169</v>
          </cell>
          <cell r="M89">
            <v>5</v>
          </cell>
        </row>
        <row r="90">
          <cell r="B90">
            <v>2072</v>
          </cell>
          <cell r="D90">
            <v>19.506894571640117</v>
          </cell>
          <cell r="E90">
            <v>13.300140805461169</v>
          </cell>
          <cell r="F90">
            <v>2.752159390301193E-2</v>
          </cell>
          <cell r="G90">
            <v>2.5580968691902111E-2</v>
          </cell>
          <cell r="H90">
            <v>341.31235287454393</v>
          </cell>
          <cell r="I90">
            <v>0.93934599698947052</v>
          </cell>
          <cell r="J90">
            <v>0.87311006130431534</v>
          </cell>
          <cell r="K90">
            <v>18.577994830133445</v>
          </cell>
          <cell r="L90">
            <v>13.300140805461169</v>
          </cell>
          <cell r="M90">
            <v>5</v>
          </cell>
        </row>
        <row r="91">
          <cell r="B91">
            <v>2073</v>
          </cell>
          <cell r="D91">
            <v>19.506894571640117</v>
          </cell>
          <cell r="E91">
            <v>13.300140805461169</v>
          </cell>
          <cell r="F91">
            <v>2.752159390301193E-2</v>
          </cell>
          <cell r="G91">
            <v>2.5580968691902111E-2</v>
          </cell>
          <cell r="H91">
            <v>342.85259994681553</v>
          </cell>
          <cell r="I91">
            <v>0.94358500243280674</v>
          </cell>
          <cell r="J91">
            <v>0.87705016251767276</v>
          </cell>
          <cell r="K91">
            <v>18.577994830133445</v>
          </cell>
          <cell r="L91">
            <v>13.300140805461169</v>
          </cell>
          <cell r="M91">
            <v>5</v>
          </cell>
        </row>
        <row r="92">
          <cell r="B92">
            <v>2074</v>
          </cell>
          <cell r="D92">
            <v>19.506894571640117</v>
          </cell>
          <cell r="E92">
            <v>13.300140805461169</v>
          </cell>
          <cell r="F92">
            <v>2.752159390301193E-2</v>
          </cell>
          <cell r="G92">
            <v>2.5580968691902111E-2</v>
          </cell>
          <cell r="H92">
            <v>343.77609785944912</v>
          </cell>
          <cell r="I92">
            <v>0.9461266158849847</v>
          </cell>
          <cell r="J92">
            <v>0.87941255963668452</v>
          </cell>
          <cell r="K92">
            <v>18.577994830133445</v>
          </cell>
          <cell r="L92">
            <v>13.300140805461169</v>
          </cell>
          <cell r="M92">
            <v>5</v>
          </cell>
        </row>
        <row r="93">
          <cell r="B93">
            <v>2075</v>
          </cell>
          <cell r="D93">
            <v>19.506894571640117</v>
          </cell>
          <cell r="E93">
            <v>13.300140805461169</v>
          </cell>
          <cell r="F93">
            <v>2.752159390301193E-2</v>
          </cell>
          <cell r="G93">
            <v>2.5580968691902111E-2</v>
          </cell>
          <cell r="H93">
            <v>344.74589722770071</v>
          </cell>
          <cell r="I93">
            <v>0.94879565832302648</v>
          </cell>
          <cell r="J93">
            <v>0.88189340036435149</v>
          </cell>
          <cell r="K93">
            <v>18.577994830133445</v>
          </cell>
          <cell r="L93">
            <v>13.300140805461169</v>
          </cell>
          <cell r="M93">
            <v>5</v>
          </cell>
        </row>
        <row r="94">
          <cell r="B94">
            <v>2076</v>
          </cell>
          <cell r="D94">
            <v>19.506894571640117</v>
          </cell>
          <cell r="E94">
            <v>13.300140805461169</v>
          </cell>
          <cell r="F94">
            <v>2.752159390301193E-2</v>
          </cell>
          <cell r="G94">
            <v>2.5580968691902111E-2</v>
          </cell>
          <cell r="H94">
            <v>344.82883763948922</v>
          </cell>
          <cell r="I94">
            <v>0.94902392355616561</v>
          </cell>
          <cell r="J94">
            <v>0.88210556997207701</v>
          </cell>
          <cell r="K94">
            <v>18.577994830133445</v>
          </cell>
          <cell r="L94">
            <v>13.300140805461169</v>
          </cell>
          <cell r="M94">
            <v>5</v>
          </cell>
        </row>
        <row r="95">
          <cell r="B95">
            <v>2077</v>
          </cell>
          <cell r="D95">
            <v>19.506894571640117</v>
          </cell>
          <cell r="E95">
            <v>13.300140805461169</v>
          </cell>
          <cell r="F95">
            <v>2.752159390301193E-2</v>
          </cell>
          <cell r="G95">
            <v>2.5580968691902111E-2</v>
          </cell>
          <cell r="H95">
            <v>344.95287854240775</v>
          </cell>
          <cell r="I95">
            <v>0.94936530389191431</v>
          </cell>
          <cell r="J95">
            <v>0.88242287861748436</v>
          </cell>
          <cell r="K95">
            <v>18.577994830133445</v>
          </cell>
          <cell r="L95">
            <v>13.300140805461169</v>
          </cell>
          <cell r="M95">
            <v>5</v>
          </cell>
        </row>
        <row r="96">
          <cell r="B96">
            <v>2078</v>
          </cell>
          <cell r="D96">
            <v>19.506894571640117</v>
          </cell>
          <cell r="E96">
            <v>13.300140805461169</v>
          </cell>
          <cell r="F96">
            <v>2.752159390301193E-2</v>
          </cell>
          <cell r="G96">
            <v>2.5580968691902111E-2</v>
          </cell>
          <cell r="H96">
            <v>344.52325778711776</v>
          </cell>
          <cell r="I96">
            <v>0.94818291909597474</v>
          </cell>
          <cell r="J96">
            <v>0.88132386710843791</v>
          </cell>
          <cell r="K96">
            <v>18.577994830133445</v>
          </cell>
          <cell r="L96">
            <v>13.300140805461169</v>
          </cell>
          <cell r="M96">
            <v>5</v>
          </cell>
        </row>
        <row r="97">
          <cell r="B97">
            <v>2079</v>
          </cell>
          <cell r="D97">
            <v>19.506894571640117</v>
          </cell>
          <cell r="E97">
            <v>13.300140805461169</v>
          </cell>
          <cell r="F97">
            <v>2.752159390301193E-2</v>
          </cell>
          <cell r="G97">
            <v>2.5580968691902111E-2</v>
          </cell>
          <cell r="H97">
            <v>343.88722762368332</v>
          </cell>
          <cell r="I97">
            <v>0.94643246270916381</v>
          </cell>
          <cell r="J97">
            <v>0.87969684033864581</v>
          </cell>
          <cell r="K97">
            <v>18.577994830133445</v>
          </cell>
          <cell r="L97">
            <v>13.300140805461169</v>
          </cell>
          <cell r="M97">
            <v>5</v>
          </cell>
        </row>
        <row r="98">
          <cell r="B98">
            <v>2080</v>
          </cell>
          <cell r="D98">
            <v>19.506894571640117</v>
          </cell>
          <cell r="E98">
            <v>13.300140805461169</v>
          </cell>
          <cell r="F98">
            <v>2.752159390301193E-2</v>
          </cell>
          <cell r="G98">
            <v>2.5580968691902111E-2</v>
          </cell>
          <cell r="H98">
            <v>342.63037884659701</v>
          </cell>
          <cell r="I98">
            <v>0.94297341454511729</v>
          </cell>
          <cell r="J98">
            <v>0.87648169941693577</v>
          </cell>
          <cell r="K98">
            <v>18.577994830133445</v>
          </cell>
          <cell r="L98">
            <v>13.300140805461169</v>
          </cell>
          <cell r="M98">
            <v>5</v>
          </cell>
        </row>
        <row r="99">
          <cell r="B99">
            <v>2081</v>
          </cell>
          <cell r="D99">
            <v>19.506894571640117</v>
          </cell>
          <cell r="E99">
            <v>13.300140805461169</v>
          </cell>
          <cell r="F99">
            <v>2.752159390301193E-2</v>
          </cell>
          <cell r="G99">
            <v>2.5580968691902111E-2</v>
          </cell>
          <cell r="H99">
            <v>342.4570263511136</v>
          </cell>
          <cell r="I99">
            <v>0.94249632084684032</v>
          </cell>
          <cell r="J99">
            <v>0.87603824694097321</v>
          </cell>
          <cell r="K99">
            <v>18.577994830133445</v>
          </cell>
          <cell r="L99">
            <v>13.300140805461169</v>
          </cell>
          <cell r="M99">
            <v>5</v>
          </cell>
        </row>
        <row r="100">
          <cell r="B100">
            <v>2082</v>
          </cell>
          <cell r="D100">
            <v>19.506894571640117</v>
          </cell>
          <cell r="E100">
            <v>13.300140805461169</v>
          </cell>
          <cell r="F100">
            <v>2.752159390301193E-2</v>
          </cell>
          <cell r="G100">
            <v>2.5580968691902111E-2</v>
          </cell>
          <cell r="H100">
            <v>341.68212426226984</v>
          </cell>
          <cell r="I100">
            <v>0.94036366678646499</v>
          </cell>
          <cell r="J100">
            <v>0.87405597233357324</v>
          </cell>
          <cell r="K100">
            <v>18.577994830133445</v>
          </cell>
          <cell r="L100">
            <v>13.300140805461169</v>
          </cell>
          <cell r="M100">
            <v>5</v>
          </cell>
        </row>
        <row r="101">
          <cell r="B101">
            <v>2083</v>
          </cell>
          <cell r="D101">
            <v>19.506894571640117</v>
          </cell>
          <cell r="E101">
            <v>13.300140805461169</v>
          </cell>
          <cell r="F101">
            <v>2.752159390301193E-2</v>
          </cell>
          <cell r="G101">
            <v>2.5580968691902111E-2</v>
          </cell>
          <cell r="H101">
            <v>340.64763803913183</v>
          </cell>
          <cell r="I101">
            <v>0.93751659581331859</v>
          </cell>
          <cell r="J101">
            <v>0.87140965636494339</v>
          </cell>
          <cell r="K101">
            <v>18.577994830133445</v>
          </cell>
          <cell r="L101">
            <v>13.300140805461169</v>
          </cell>
          <cell r="M101">
            <v>5</v>
          </cell>
        </row>
        <row r="102">
          <cell r="B102">
            <v>2084</v>
          </cell>
          <cell r="D102">
            <v>19.506894571640117</v>
          </cell>
          <cell r="E102">
            <v>13.300140805461169</v>
          </cell>
          <cell r="F102">
            <v>2.752159390301193E-2</v>
          </cell>
          <cell r="G102">
            <v>2.5580968691902111E-2</v>
          </cell>
          <cell r="H102">
            <v>339.39747235172109</v>
          </cell>
          <cell r="I102">
            <v>0.93407594057727861</v>
          </cell>
          <cell r="J102">
            <v>0.86821161143400905</v>
          </cell>
          <cell r="K102">
            <v>18.577994830133445</v>
          </cell>
          <cell r="L102">
            <v>13.300140805461169</v>
          </cell>
          <cell r="M102">
            <v>5</v>
          </cell>
        </row>
        <row r="103">
          <cell r="B103">
            <v>2085</v>
          </cell>
          <cell r="D103">
            <v>19.506894571640117</v>
          </cell>
          <cell r="E103">
            <v>13.300140805461169</v>
          </cell>
          <cell r="F103">
            <v>2.752159390301193E-2</v>
          </cell>
          <cell r="G103">
            <v>2.5580968691902111E-2</v>
          </cell>
          <cell r="H103">
            <v>338.29773723622009</v>
          </cell>
          <cell r="I103">
            <v>0.93104929425230876</v>
          </cell>
          <cell r="J103">
            <v>0.86539838247810741</v>
          </cell>
          <cell r="K103">
            <v>18.577994830133445</v>
          </cell>
          <cell r="L103">
            <v>13.300140805461169</v>
          </cell>
          <cell r="M103">
            <v>5</v>
          </cell>
        </row>
        <row r="104">
          <cell r="B104">
            <v>2086</v>
          </cell>
          <cell r="D104">
            <v>19.506894571640117</v>
          </cell>
          <cell r="E104">
            <v>13.300140805461169</v>
          </cell>
          <cell r="F104">
            <v>2.752159390301193E-2</v>
          </cell>
          <cell r="G104">
            <v>2.5580968691902111E-2</v>
          </cell>
          <cell r="H104">
            <v>336.54075981788878</v>
          </cell>
          <cell r="I104">
            <v>0.92621381235190103</v>
          </cell>
          <cell r="J104">
            <v>0.86090386404503616</v>
          </cell>
          <cell r="K104">
            <v>18.577994830133445</v>
          </cell>
          <cell r="L104">
            <v>13.300140805461169</v>
          </cell>
          <cell r="M104">
            <v>5</v>
          </cell>
        </row>
        <row r="105">
          <cell r="B105">
            <v>2087</v>
          </cell>
          <cell r="D105">
            <v>19.506894571640117</v>
          </cell>
          <cell r="E105">
            <v>13.300140805461169</v>
          </cell>
          <cell r="F105">
            <v>2.752159390301193E-2</v>
          </cell>
          <cell r="G105">
            <v>2.5580968691902111E-2</v>
          </cell>
          <cell r="H105">
            <v>334.51711911611011</v>
          </cell>
          <cell r="I105">
            <v>0.92064443059190515</v>
          </cell>
          <cell r="J105">
            <v>0.85572719510145023</v>
          </cell>
          <cell r="K105">
            <v>18.577994830133445</v>
          </cell>
          <cell r="L105">
            <v>13.300140805461169</v>
          </cell>
          <cell r="M105">
            <v>5</v>
          </cell>
        </row>
        <row r="106">
          <cell r="B106">
            <v>2088</v>
          </cell>
          <cell r="D106">
            <v>19.506894571640117</v>
          </cell>
          <cell r="E106">
            <v>13.300140805461169</v>
          </cell>
          <cell r="F106">
            <v>2.752159390301193E-2</v>
          </cell>
          <cell r="G106">
            <v>2.5580968691902111E-2</v>
          </cell>
          <cell r="H106">
            <v>332.44075897343333</v>
          </cell>
          <cell r="I106">
            <v>0.91492995652759013</v>
          </cell>
          <cell r="J106">
            <v>0.85041566472115737</v>
          </cell>
          <cell r="K106">
            <v>18.577994830133445</v>
          </cell>
          <cell r="L106">
            <v>13.300140805461169</v>
          </cell>
          <cell r="M106">
            <v>5</v>
          </cell>
        </row>
        <row r="107">
          <cell r="B107">
            <v>2089</v>
          </cell>
          <cell r="D107">
            <v>19.506894571640117</v>
          </cell>
          <cell r="E107">
            <v>13.300140805461169</v>
          </cell>
          <cell r="F107">
            <v>2.752159390301193E-2</v>
          </cell>
          <cell r="G107">
            <v>2.5580968691902111E-2</v>
          </cell>
          <cell r="H107">
            <v>330.04784057470323</v>
          </cell>
          <cell r="I107">
            <v>0.90834426368630061</v>
          </cell>
          <cell r="J107">
            <v>0.84429434765713829</v>
          </cell>
          <cell r="K107">
            <v>18.577994830133445</v>
          </cell>
          <cell r="L107">
            <v>13.300140805461169</v>
          </cell>
          <cell r="M107">
            <v>5</v>
          </cell>
        </row>
        <row r="108">
          <cell r="B108">
            <v>2090</v>
          </cell>
          <cell r="D108">
            <v>19.506894571640117</v>
          </cell>
          <cell r="E108">
            <v>13.300140805461169</v>
          </cell>
          <cell r="F108">
            <v>2.752159390301193E-2</v>
          </cell>
          <cell r="G108">
            <v>2.5580968691902111E-2</v>
          </cell>
          <cell r="H108">
            <v>327.63205506644846</v>
          </cell>
          <cell r="I108">
            <v>0.9016956369148037</v>
          </cell>
          <cell r="J108">
            <v>0.83811453431183658</v>
          </cell>
          <cell r="K108">
            <v>18.577994830133445</v>
          </cell>
          <cell r="L108">
            <v>13.300140805461169</v>
          </cell>
          <cell r="M108">
            <v>5</v>
          </cell>
        </row>
        <row r="109">
          <cell r="B109">
            <v>2091</v>
          </cell>
          <cell r="D109">
            <v>19.506894571640117</v>
          </cell>
          <cell r="E109">
            <v>13.300140805461169</v>
          </cell>
          <cell r="F109">
            <v>2.752159390301193E-2</v>
          </cell>
          <cell r="G109">
            <v>2.5580968691902111E-2</v>
          </cell>
          <cell r="H109">
            <v>325.59051169193759</v>
          </cell>
          <cell r="I109">
            <v>0.89607698414593639</v>
          </cell>
          <cell r="J109">
            <v>0.83289206859718434</v>
          </cell>
          <cell r="K109">
            <v>18.577994830133445</v>
          </cell>
          <cell r="L109">
            <v>13.300140805461169</v>
          </cell>
          <cell r="M109">
            <v>5</v>
          </cell>
        </row>
        <row r="110">
          <cell r="B110">
            <v>2092</v>
          </cell>
          <cell r="D110">
            <v>19.506894571640117</v>
          </cell>
          <cell r="E110">
            <v>13.300140805461169</v>
          </cell>
          <cell r="F110">
            <v>2.752159390301193E-2</v>
          </cell>
          <cell r="G110">
            <v>2.5580968691902111E-2</v>
          </cell>
          <cell r="H110">
            <v>323.49306813318719</v>
          </cell>
          <cell r="I110">
            <v>0.89030448516009475</v>
          </cell>
          <cell r="J110">
            <v>0.82752660479624185</v>
          </cell>
          <cell r="K110">
            <v>18.577994830133445</v>
          </cell>
          <cell r="L110">
            <v>13.300140805461169</v>
          </cell>
          <cell r="M110">
            <v>5</v>
          </cell>
        </row>
        <row r="111">
          <cell r="B111">
            <v>2093</v>
          </cell>
          <cell r="D111">
            <v>19.506894571640117</v>
          </cell>
          <cell r="E111">
            <v>13.300140805461169</v>
          </cell>
          <cell r="F111">
            <v>2.752159390301193E-2</v>
          </cell>
          <cell r="G111">
            <v>2.5580968691902111E-2</v>
          </cell>
          <cell r="H111">
            <v>320.87151555812392</v>
          </cell>
          <cell r="I111">
            <v>0.88308955462346606</v>
          </cell>
          <cell r="J111">
            <v>0.82082041936155492</v>
          </cell>
          <cell r="K111">
            <v>18.577994830133445</v>
          </cell>
          <cell r="L111">
            <v>13.300140805461169</v>
          </cell>
          <cell r="M111">
            <v>5</v>
          </cell>
        </row>
        <row r="112">
          <cell r="B112">
            <v>2094</v>
          </cell>
          <cell r="D112">
            <v>19.506894571640117</v>
          </cell>
          <cell r="E112">
            <v>13.300140805461169</v>
          </cell>
          <cell r="F112">
            <v>2.752159390301193E-2</v>
          </cell>
          <cell r="G112">
            <v>2.5580968691902111E-2</v>
          </cell>
          <cell r="H112">
            <v>318.18575514558376</v>
          </cell>
          <cell r="I112">
            <v>0.87569791388399454</v>
          </cell>
          <cell r="J112">
            <v>0.81394998405884089</v>
          </cell>
          <cell r="K112">
            <v>18.577994830133445</v>
          </cell>
          <cell r="L112">
            <v>13.300140805461169</v>
          </cell>
          <cell r="M112">
            <v>5</v>
          </cell>
        </row>
        <row r="113">
          <cell r="B113">
            <v>2095</v>
          </cell>
          <cell r="D113">
            <v>19.506894571640117</v>
          </cell>
          <cell r="E113">
            <v>13.300140805461169</v>
          </cell>
          <cell r="F113">
            <v>2.752159390301193E-2</v>
          </cell>
          <cell r="G113">
            <v>2.5580968691902111E-2</v>
          </cell>
          <cell r="H113">
            <v>315.38820225432244</v>
          </cell>
          <cell r="I113">
            <v>0.86799860242444526</v>
          </cell>
          <cell r="J113">
            <v>0.80679357276631125</v>
          </cell>
          <cell r="K113">
            <v>18.577994830133445</v>
          </cell>
          <cell r="L113">
            <v>13.300140805461169</v>
          </cell>
          <cell r="M113">
            <v>5</v>
          </cell>
        </row>
        <row r="114">
          <cell r="B114">
            <v>2096</v>
          </cell>
          <cell r="D114">
            <v>19.506894571640117</v>
          </cell>
          <cell r="E114">
            <v>13.300140805461169</v>
          </cell>
          <cell r="F114">
            <v>2.752159390301193E-2</v>
          </cell>
          <cell r="G114">
            <v>2.5580968691902111E-2</v>
          </cell>
          <cell r="H114">
            <v>312.51712380894617</v>
          </cell>
          <cell r="I114">
            <v>0.86009693692071176</v>
          </cell>
          <cell r="J114">
            <v>0.79944907598399473</v>
          </cell>
          <cell r="K114">
            <v>18.577994830133445</v>
          </cell>
          <cell r="L114">
            <v>13.300140805461169</v>
          </cell>
          <cell r="M114">
            <v>5</v>
          </cell>
        </row>
        <row r="115">
          <cell r="B115">
            <v>2097</v>
          </cell>
          <cell r="D115">
            <v>19.506894571640117</v>
          </cell>
          <cell r="E115">
            <v>13.300140805461169</v>
          </cell>
          <cell r="F115">
            <v>2.752159390301193E-2</v>
          </cell>
          <cell r="G115">
            <v>2.5580968691902111E-2</v>
          </cell>
          <cell r="H115">
            <v>309.76728206727574</v>
          </cell>
          <cell r="I115">
            <v>0.85252893414953124</v>
          </cell>
          <cell r="J115">
            <v>0.79241471443385914</v>
          </cell>
          <cell r="K115">
            <v>18.577994830133445</v>
          </cell>
          <cell r="L115">
            <v>13.300140805461169</v>
          </cell>
          <cell r="M115">
            <v>5</v>
          </cell>
        </row>
        <row r="116">
          <cell r="B116">
            <v>2098</v>
          </cell>
          <cell r="D116">
            <v>19.506894571640117</v>
          </cell>
          <cell r="E116">
            <v>13.300140805461169</v>
          </cell>
          <cell r="F116">
            <v>2.752159390301193E-2</v>
          </cell>
          <cell r="G116">
            <v>2.5580968691902111E-2</v>
          </cell>
          <cell r="H116">
            <v>306.51948042935345</v>
          </cell>
          <cell r="I116">
            <v>0.84359046637388779</v>
          </cell>
          <cell r="J116">
            <v>0.78410652323213925</v>
          </cell>
          <cell r="K116">
            <v>18.577994830133445</v>
          </cell>
          <cell r="L116">
            <v>13.300140805461169</v>
          </cell>
          <cell r="M116">
            <v>5</v>
          </cell>
        </row>
        <row r="117">
          <cell r="B117">
            <v>2099</v>
          </cell>
          <cell r="D117">
            <v>19.506894571640117</v>
          </cell>
          <cell r="E117">
            <v>13.300140805461169</v>
          </cell>
          <cell r="F117">
            <v>2.752159390301193E-2</v>
          </cell>
          <cell r="G117">
            <v>2.5580968691902111E-2</v>
          </cell>
          <cell r="H117">
            <v>303.57613042315671</v>
          </cell>
          <cell r="I117">
            <v>0.83548989801539031</v>
          </cell>
          <cell r="J117">
            <v>0.77657714879635642</v>
          </cell>
          <cell r="K117">
            <v>18.577994830133445</v>
          </cell>
          <cell r="L117">
            <v>13.300140805461169</v>
          </cell>
          <cell r="M117">
            <v>5</v>
          </cell>
        </row>
        <row r="118">
          <cell r="B118">
            <v>2100</v>
          </cell>
          <cell r="D118">
            <v>19.506894571640117</v>
          </cell>
          <cell r="E118">
            <v>13.300140805461169</v>
          </cell>
          <cell r="F118">
            <v>2.752159390301193E-2</v>
          </cell>
          <cell r="G118">
            <v>2.5580968691902111E-2</v>
          </cell>
          <cell r="H118">
            <v>300.32472943762582</v>
          </cell>
          <cell r="I118">
            <v>0.82654152426142713</v>
          </cell>
          <cell r="J118">
            <v>0.76825975011478786</v>
          </cell>
          <cell r="K118">
            <v>18.577994830133445</v>
          </cell>
          <cell r="L118">
            <v>13.300140805461169</v>
          </cell>
          <cell r="M118">
            <v>5</v>
          </cell>
        </row>
      </sheetData>
      <sheetData sheetId="30"/>
      <sheetData sheetId="31"/>
      <sheetData sheetId="32"/>
      <sheetData sheetId="33"/>
      <sheetData sheetId="34"/>
      <sheetData sheetId="35"/>
      <sheetData sheetId="36"/>
      <sheetData sheetId="37">
        <row r="27">
          <cell r="B27">
            <v>2010</v>
          </cell>
          <cell r="D27">
            <v>112.68614342427482</v>
          </cell>
          <cell r="E27">
            <v>4.4301158448555888</v>
          </cell>
          <cell r="F27">
            <v>-8.1931594433649613E-3</v>
          </cell>
          <cell r="G27">
            <v>2.4655787456196121E-4</v>
          </cell>
          <cell r="H27">
            <v>50.410610211008134</v>
          </cell>
          <cell r="I27">
            <v>6.3693166591769543</v>
          </cell>
          <cell r="J27">
            <v>-6.0534666512598374E-2</v>
          </cell>
          <cell r="K27">
            <v>4.7598231275421566E-4</v>
          </cell>
          <cell r="L27" t="str">
            <v/>
          </cell>
          <cell r="M27" t="str">
            <v/>
          </cell>
          <cell r="N27" t="str">
            <v/>
          </cell>
          <cell r="O27" t="str">
            <v/>
          </cell>
          <cell r="P27">
            <v>87.322501599919093</v>
          </cell>
          <cell r="Q27">
            <v>5.219915503599708</v>
          </cell>
          <cell r="R27">
            <v>-2.9510861104861209E-2</v>
          </cell>
          <cell r="S27">
            <v>3.3999809057961775E-4</v>
          </cell>
        </row>
        <row r="28">
          <cell r="B28">
            <v>2011</v>
          </cell>
          <cell r="D28">
            <v>120.85917161045593</v>
          </cell>
          <cell r="E28">
            <v>4.7514283023396242</v>
          </cell>
          <cell r="F28">
            <v>-8.787402187234325E-3</v>
          </cell>
          <cell r="G28">
            <v>2.6444050322494295E-4</v>
          </cell>
          <cell r="H28">
            <v>54.955812743886433</v>
          </cell>
          <cell r="I28">
            <v>6.9435972340562735</v>
          </cell>
          <cell r="J28">
            <v>-6.5992690496206555E-2</v>
          </cell>
          <cell r="K28">
            <v>5.1889859574464259E-4</v>
          </cell>
          <cell r="L28" t="str">
            <v/>
          </cell>
          <cell r="M28">
            <v>1.5365114061944793</v>
          </cell>
          <cell r="N28" t="str">
            <v/>
          </cell>
          <cell r="O28" t="str">
            <v/>
          </cell>
          <cell r="P28">
            <v>92.509860380916763</v>
          </cell>
          <cell r="Q28">
            <v>5.6920556280783199</v>
          </cell>
          <cell r="R28">
            <v>-3.3357916218124242E-2</v>
          </cell>
          <cell r="S28">
            <v>3.7366028383326814E-4</v>
          </cell>
        </row>
        <row r="29">
          <cell r="B29">
            <v>2012</v>
          </cell>
          <cell r="D29">
            <v>118.49824599590519</v>
          </cell>
          <cell r="E29">
            <v>4.6586114425579677</v>
          </cell>
          <cell r="F29">
            <v>-8.615744524578247E-3</v>
          </cell>
          <cell r="G29">
            <v>2.5927478556140703E-4</v>
          </cell>
          <cell r="H29">
            <v>54.018673355683546</v>
          </cell>
          <cell r="I29">
            <v>6.8251908610275231</v>
          </cell>
          <cell r="J29">
            <v>-6.4867343667369834E-2</v>
          </cell>
          <cell r="K29">
            <v>5.1005002653465366E-4</v>
          </cell>
          <cell r="L29" t="str">
            <v/>
          </cell>
          <cell r="M29">
            <v>1.5998426797892982</v>
          </cell>
          <cell r="N29" t="str">
            <v/>
          </cell>
          <cell r="O29" t="str">
            <v/>
          </cell>
          <cell r="P29">
            <v>89.285690801672459</v>
          </cell>
          <cell r="Q29">
            <v>5.6355768910785802</v>
          </cell>
          <cell r="R29">
            <v>-3.4027334060216692E-2</v>
          </cell>
          <cell r="S29">
            <v>3.724176858837916E-4</v>
          </cell>
        </row>
        <row r="30">
          <cell r="B30">
            <v>2013</v>
          </cell>
          <cell r="D30">
            <v>113.36551275308199</v>
          </cell>
          <cell r="E30">
            <v>4.4568244066769465</v>
          </cell>
          <cell r="F30">
            <v>-8.2425548797753784E-3</v>
          </cell>
          <cell r="G30">
            <v>2.4804433822699773E-4</v>
          </cell>
          <cell r="H30">
            <v>51.375967942541202</v>
          </cell>
          <cell r="I30">
            <v>6.4912883840932327</v>
          </cell>
          <cell r="J30">
            <v>-6.1693898826968407E-2</v>
          </cell>
          <cell r="K30">
            <v>4.8509732254614104E-4</v>
          </cell>
          <cell r="L30" t="str">
            <v/>
          </cell>
          <cell r="M30">
            <v>1.6888052832735501</v>
          </cell>
          <cell r="N30" t="str">
            <v/>
          </cell>
          <cell r="O30" t="str">
            <v/>
          </cell>
          <cell r="P30">
            <v>83.862973909132791</v>
          </cell>
          <cell r="Q30">
            <v>5.4187143100302881</v>
          </cell>
          <cell r="R30">
            <v>-3.3577508268245917E-2</v>
          </cell>
          <cell r="S30">
            <v>3.6019553999112192E-4</v>
          </cell>
        </row>
        <row r="31">
          <cell r="B31">
            <v>2014</v>
          </cell>
          <cell r="D31">
            <v>104.10053381028864</v>
          </cell>
          <cell r="E31">
            <v>4.0925832606987411</v>
          </cell>
          <cell r="F31">
            <v>-7.5689188193778017E-3</v>
          </cell>
          <cell r="G31">
            <v>2.2777251556468838E-4</v>
          </cell>
          <cell r="H31">
            <v>46.975105058057594</v>
          </cell>
          <cell r="I31">
            <v>5.9352449407076975</v>
          </cell>
          <cell r="J31">
            <v>-5.6409202490923821E-2</v>
          </cell>
          <cell r="K31">
            <v>4.4354390978040403E-4</v>
          </cell>
          <cell r="L31" t="str">
            <v/>
          </cell>
          <cell r="M31">
            <v>1.7561471855426454</v>
          </cell>
          <cell r="N31" t="str">
            <v/>
          </cell>
          <cell r="O31" t="str">
            <v/>
          </cell>
          <cell r="P31">
            <v>75.60628943438482</v>
          </cell>
          <cell r="Q31">
            <v>5.0042544436369596</v>
          </cell>
          <cell r="R31">
            <v>-3.1804157461357035E-2</v>
          </cell>
          <cell r="S31">
            <v>3.3458704315891997E-4</v>
          </cell>
        </row>
        <row r="32">
          <cell r="B32">
            <v>2015</v>
          </cell>
          <cell r="D32">
            <v>87.651226997075753</v>
          </cell>
          <cell r="E32">
            <v>3.4458991828194083</v>
          </cell>
          <cell r="F32">
            <v>-6.3729262211924759E-3</v>
          </cell>
          <cell r="G32">
            <v>1.9178134573102741E-4</v>
          </cell>
          <cell r="H32">
            <v>39.008548636719247</v>
          </cell>
          <cell r="I32">
            <v>4.9286806416779854</v>
          </cell>
          <cell r="J32">
            <v>-4.6842707774813301E-2</v>
          </cell>
          <cell r="K32">
            <v>3.6832284155204271E-4</v>
          </cell>
          <cell r="L32" t="str">
            <v/>
          </cell>
          <cell r="M32">
            <v>1.6555723787494758</v>
          </cell>
          <cell r="N32" t="str">
            <v/>
          </cell>
          <cell r="O32" t="str">
            <v/>
          </cell>
          <cell r="P32">
            <v>62.276862095242819</v>
          </cell>
          <cell r="Q32">
            <v>4.212090928234586</v>
          </cell>
          <cell r="R32">
            <v>-2.7354213914142476E-2</v>
          </cell>
          <cell r="S32">
            <v>2.8303989277888615E-4</v>
          </cell>
        </row>
        <row r="33">
          <cell r="B33">
            <v>2016</v>
          </cell>
          <cell r="D33">
            <v>86.764015267584639</v>
          </cell>
          <cell r="E33">
            <v>3.4110195550220341</v>
          </cell>
          <cell r="F33">
            <v>-6.3084190250204007E-3</v>
          </cell>
          <cell r="G33">
            <v>1.8984012180000553E-4</v>
          </cell>
          <cell r="H33">
            <v>39.184763981706055</v>
          </cell>
          <cell r="I33">
            <v>4.9509452270049454</v>
          </cell>
          <cell r="J33">
            <v>-4.7054312774207852E-2</v>
          </cell>
          <cell r="K33">
            <v>3.6998668547494936E-4</v>
          </cell>
          <cell r="L33" t="str">
            <v/>
          </cell>
          <cell r="M33">
            <v>1.7076233215426246</v>
          </cell>
          <cell r="N33" t="str">
            <v/>
          </cell>
          <cell r="O33" t="str">
            <v/>
          </cell>
          <cell r="P33">
            <v>61.474508222262465</v>
          </cell>
          <cell r="Q33">
            <v>4.2149315336678326</v>
          </cell>
          <cell r="R33">
            <v>-2.7705049288545759E-2</v>
          </cell>
          <cell r="S33">
            <v>2.8391541431302132E-4</v>
          </cell>
        </row>
        <row r="34">
          <cell r="B34">
            <v>2017</v>
          </cell>
          <cell r="D34">
            <v>84.820943939305508</v>
          </cell>
          <cell r="E34">
            <v>3.3346301177982944</v>
          </cell>
          <cell r="F34">
            <v>-6.1671426203210068E-3</v>
          </cell>
          <cell r="G34">
            <v>1.8558867151282152E-4</v>
          </cell>
          <cell r="H34">
            <v>38.792214914897784</v>
          </cell>
          <cell r="I34">
            <v>4.9013471503242485</v>
          </cell>
          <cell r="J34">
            <v>-4.658292735059158E-2</v>
          </cell>
          <cell r="K34">
            <v>3.6628019567236988E-4</v>
          </cell>
          <cell r="L34" t="str">
            <v/>
          </cell>
          <cell r="M34">
            <v>1.8217840982194824</v>
          </cell>
          <cell r="N34" t="str">
            <v/>
          </cell>
          <cell r="O34" t="str">
            <v/>
          </cell>
          <cell r="P34">
            <v>59.898364484596748</v>
          </cell>
          <cell r="Q34">
            <v>4.1616682983934705</v>
          </cell>
          <cell r="R34">
            <v>-2.7660674399079491E-2</v>
          </cell>
          <cell r="S34">
            <v>2.809183539233745E-4</v>
          </cell>
        </row>
        <row r="35">
          <cell r="B35">
            <v>2018</v>
          </cell>
          <cell r="D35">
            <v>82.999926616900524</v>
          </cell>
          <cell r="E35">
            <v>3.2630390823027531</v>
          </cell>
          <cell r="F35">
            <v>-6.0347404915568788E-3</v>
          </cell>
          <cell r="G35">
            <v>1.8160427603251643E-4</v>
          </cell>
          <cell r="H35">
            <v>38.418670049093642</v>
          </cell>
          <cell r="I35">
            <v>4.8541502303354314</v>
          </cell>
          <cell r="J35">
            <v>-4.6134362776897746E-2</v>
          </cell>
          <cell r="K35">
            <v>3.6275314554544847E-4</v>
          </cell>
          <cell r="L35" t="str">
            <v/>
          </cell>
          <cell r="M35">
            <v>1.9052339490774779</v>
          </cell>
          <cell r="N35" t="str">
            <v/>
          </cell>
          <cell r="O35" t="str">
            <v/>
          </cell>
          <cell r="P35">
            <v>58.415583051406323</v>
          </cell>
          <cell r="Q35">
            <v>4.1126622895886751</v>
          </cell>
          <cell r="R35">
            <v>-2.7628521327494694E-2</v>
          </cell>
          <cell r="S35">
            <v>2.7816051039400555E-4</v>
          </cell>
        </row>
        <row r="36">
          <cell r="B36">
            <v>2019</v>
          </cell>
          <cell r="D36">
            <v>81.415224912109565</v>
          </cell>
          <cell r="E36">
            <v>3.2007385019613754</v>
          </cell>
          <cell r="F36">
            <v>-5.9195203469767296E-3</v>
          </cell>
          <cell r="G36">
            <v>1.7813694036661416E-4</v>
          </cell>
          <cell r="H36">
            <v>38.138550166933271</v>
          </cell>
          <cell r="I36">
            <v>4.8187574385294498</v>
          </cell>
          <cell r="J36">
            <v>-4.5797985899507294E-2</v>
          </cell>
          <cell r="K36">
            <v>3.6010822399419113E-4</v>
          </cell>
          <cell r="L36" t="str">
            <v/>
          </cell>
          <cell r="M36">
            <v>1.9611835227777994</v>
          </cell>
          <cell r="N36" t="str">
            <v/>
          </cell>
          <cell r="O36" t="str">
            <v/>
          </cell>
          <cell r="P36">
            <v>57.115012701943257</v>
          </cell>
          <cell r="Q36">
            <v>4.0748583894284254</v>
          </cell>
          <cell r="R36">
            <v>-2.7661368465368277E-2</v>
          </cell>
          <cell r="S36">
            <v>2.7613412338078631E-4</v>
          </cell>
        </row>
        <row r="37">
          <cell r="B37">
            <v>2020</v>
          </cell>
          <cell r="D37">
            <v>81.197215014330382</v>
          </cell>
          <cell r="E37">
            <v>3.1921677134585642</v>
          </cell>
          <cell r="F37">
            <v>-5.9036693310624529E-3</v>
          </cell>
          <cell r="G37">
            <v>1.7765993356350148E-4</v>
          </cell>
          <cell r="H37">
            <v>38.569951137584304</v>
          </cell>
          <cell r="I37">
            <v>4.8732644039807971</v>
          </cell>
          <cell r="J37">
            <v>-4.6316025926840046E-2</v>
          </cell>
          <cell r="K37">
            <v>3.6418155758161222E-4</v>
          </cell>
          <cell r="L37" t="str">
            <v/>
          </cell>
          <cell r="M37">
            <v>1.9981655888360113</v>
          </cell>
          <cell r="N37" t="str">
            <v/>
          </cell>
          <cell r="O37" t="str">
            <v/>
          </cell>
          <cell r="P37">
            <v>56.828584629469361</v>
          </cell>
          <cell r="Q37">
            <v>4.1108483844855268</v>
          </cell>
          <cell r="R37">
            <v>-2.8207715821310195E-2</v>
          </cell>
          <cell r="S37">
            <v>2.7915447111156734E-4</v>
          </cell>
        </row>
        <row r="38">
          <cell r="B38">
            <v>2021</v>
          </cell>
          <cell r="D38">
            <v>81.074050120634723</v>
          </cell>
          <cell r="E38">
            <v>3.1873256385546718</v>
          </cell>
          <cell r="F38">
            <v>-5.8947142849386878E-3</v>
          </cell>
          <cell r="G38">
            <v>1.7739044812822559E-4</v>
          </cell>
          <cell r="H38">
            <v>39.058418032659461</v>
          </cell>
          <cell r="I38">
            <v>4.9349815766005252</v>
          </cell>
          <cell r="J38">
            <v>-4.6902592533989783E-2</v>
          </cell>
          <cell r="K38">
            <v>3.6879371366241624E-4</v>
          </cell>
          <cell r="L38" t="str">
            <v/>
          </cell>
          <cell r="M38">
            <v>2.0061543287573449</v>
          </cell>
          <cell r="N38" t="str">
            <v/>
          </cell>
          <cell r="O38" t="str">
            <v/>
          </cell>
          <cell r="P38">
            <v>56.981014095739638</v>
          </cell>
          <cell r="Q38">
            <v>4.1312369935919424</v>
          </cell>
          <cell r="R38">
            <v>-2.8322255198881766E-2</v>
          </cell>
          <cell r="S38">
            <v>2.8015323741817697E-4</v>
          </cell>
        </row>
        <row r="39">
          <cell r="B39">
            <v>2022</v>
          </cell>
          <cell r="D39">
            <v>80.850846908777143</v>
          </cell>
          <cell r="E39">
            <v>3.1785506813556319</v>
          </cell>
          <cell r="F39">
            <v>-5.878485674681481E-3</v>
          </cell>
          <cell r="G39">
            <v>1.7690207832659168E-4</v>
          </cell>
          <cell r="H39">
            <v>39.498888681359006</v>
          </cell>
          <cell r="I39">
            <v>4.9906344843692922</v>
          </cell>
          <cell r="J39">
            <v>-4.7431523719627215E-2</v>
          </cell>
          <cell r="K39">
            <v>3.7295268410912944E-4</v>
          </cell>
          <cell r="L39" t="str">
            <v/>
          </cell>
          <cell r="M39">
            <v>2.0463331410133971</v>
          </cell>
          <cell r="N39" t="str">
            <v/>
          </cell>
          <cell r="O39" t="str">
            <v/>
          </cell>
          <cell r="P39">
            <v>57.058506443435903</v>
          </cell>
          <cell r="Q39">
            <v>4.1465815269308823</v>
          </cell>
          <cell r="R39">
            <v>-2.8396842615650869E-2</v>
          </cell>
          <cell r="S39">
            <v>2.8076617570203886E-4</v>
          </cell>
        </row>
        <row r="40">
          <cell r="B40">
            <v>2023</v>
          </cell>
          <cell r="D40">
            <v>80.549015219671475</v>
          </cell>
          <cell r="E40">
            <v>3.1666845431796884</v>
          </cell>
          <cell r="F40">
            <v>-5.856540162316291E-3</v>
          </cell>
          <cell r="G40">
            <v>1.7624166900313874E-4</v>
          </cell>
          <cell r="H40">
            <v>39.900017874738104</v>
          </cell>
          <cell r="I40">
            <v>5.0413166491591523</v>
          </cell>
          <cell r="J40">
            <v>-4.7913212432539654E-2</v>
          </cell>
          <cell r="K40">
            <v>3.7674018837417642E-4</v>
          </cell>
          <cell r="L40" t="str">
            <v/>
          </cell>
          <cell r="M40">
            <v>2.0307005723153728</v>
          </cell>
          <cell r="N40" t="str">
            <v/>
          </cell>
          <cell r="O40" t="str">
            <v/>
          </cell>
          <cell r="P40">
            <v>57.075413972562089</v>
          </cell>
          <cell r="Q40">
            <v>4.1565333601721646</v>
          </cell>
          <cell r="R40">
            <v>-2.8438532752773703E-2</v>
          </cell>
          <cell r="S40">
            <v>2.8106334201212068E-4</v>
          </cell>
        </row>
        <row r="41">
          <cell r="B41">
            <v>2024</v>
          </cell>
          <cell r="D41">
            <v>80.187374874732782</v>
          </cell>
          <cell r="E41">
            <v>3.1524671019436372</v>
          </cell>
          <cell r="F41">
            <v>-5.8302460952979517E-3</v>
          </cell>
          <cell r="G41">
            <v>1.754503980261188E-4</v>
          </cell>
          <cell r="H41">
            <v>40.26965617610734</v>
          </cell>
          <cell r="I41">
            <v>5.0880199796867176</v>
          </cell>
          <cell r="J41">
            <v>-4.8357085879221003E-2</v>
          </cell>
          <cell r="K41">
            <v>3.8023035230656718E-4</v>
          </cell>
          <cell r="L41" t="str">
            <v/>
          </cell>
          <cell r="M41">
            <v>2.0799282948066287</v>
          </cell>
          <cell r="N41" t="str">
            <v/>
          </cell>
          <cell r="O41" t="str">
            <v/>
          </cell>
          <cell r="P41">
            <v>57.044474821346711</v>
          </cell>
          <cell r="Q41">
            <v>4.1641641060190135</v>
          </cell>
          <cell r="R41">
            <v>-2.845359895801446E-2</v>
          </cell>
          <cell r="S41">
            <v>2.8110699111304335E-4</v>
          </cell>
        </row>
        <row r="42">
          <cell r="B42">
            <v>2025</v>
          </cell>
          <cell r="D42">
            <v>79.769961615358511</v>
          </cell>
          <cell r="E42">
            <v>3.1360570178107157</v>
          </cell>
          <cell r="F42">
            <v>-5.7998969034283544E-3</v>
          </cell>
          <cell r="G42">
            <v>1.7453709561893806E-4</v>
          </cell>
          <cell r="H42">
            <v>40.608901519457362</v>
          </cell>
          <cell r="I42">
            <v>5.1308831985190819</v>
          </cell>
          <cell r="J42">
            <v>-4.8764462493780636E-2</v>
          </cell>
          <cell r="K42">
            <v>3.8343354271515268E-4</v>
          </cell>
          <cell r="L42" t="str">
            <v/>
          </cell>
          <cell r="M42">
            <v>2.1706311655220731</v>
          </cell>
          <cell r="N42" t="str">
            <v/>
          </cell>
          <cell r="O42" t="str">
            <v/>
          </cell>
          <cell r="P42">
            <v>56.96824212785846</v>
          </cell>
          <cell r="Q42">
            <v>4.1696824637859669</v>
          </cell>
          <cell r="R42">
            <v>-2.8443371153222822E-2</v>
          </cell>
          <cell r="S42">
            <v>2.8091006732808125E-4</v>
          </cell>
        </row>
        <row r="43">
          <cell r="B43">
            <v>2026</v>
          </cell>
          <cell r="D43">
            <v>78.80289566451691</v>
          </cell>
          <cell r="E43">
            <v>3.09803802042864</v>
          </cell>
          <cell r="F43">
            <v>-5.7295836840144786E-3</v>
          </cell>
          <cell r="G43">
            <v>1.7242115023155354E-4</v>
          </cell>
          <cell r="H43">
            <v>40.262294019505468</v>
          </cell>
          <cell r="I43">
            <v>5.0870897805382533</v>
          </cell>
          <cell r="J43">
            <v>-4.8348245167060551E-2</v>
          </cell>
          <cell r="K43">
            <v>3.8016083804535213E-4</v>
          </cell>
          <cell r="L43" t="str">
            <v/>
          </cell>
          <cell r="M43">
            <v>2.1707573012501142</v>
          </cell>
          <cell r="N43" t="str">
            <v/>
          </cell>
          <cell r="O43" t="str">
            <v/>
          </cell>
          <cell r="P43">
            <v>56.135691908814849</v>
          </cell>
          <cell r="Q43">
            <v>4.1132562972231694</v>
          </cell>
          <cell r="R43">
            <v>-2.7920016415830542E-2</v>
          </cell>
          <cell r="S43">
            <v>2.7611239074294154E-4</v>
          </cell>
        </row>
        <row r="44">
          <cell r="B44">
            <v>2027</v>
          </cell>
          <cell r="D44">
            <v>77.848456784454825</v>
          </cell>
          <cell r="E44">
            <v>3.0605154406595432</v>
          </cell>
          <cell r="F44">
            <v>-5.6601885508981327E-3</v>
          </cell>
          <cell r="G44">
            <v>1.7033283294145529E-4</v>
          </cell>
          <cell r="H44">
            <v>39.919108962705465</v>
          </cell>
          <cell r="I44">
            <v>5.0437287839086284</v>
          </cell>
          <cell r="J44">
            <v>-4.7936137619095209E-2</v>
          </cell>
          <cell r="K44">
            <v>3.7692044844573008E-4</v>
          </cell>
          <cell r="L44" t="str">
            <v/>
          </cell>
          <cell r="M44">
            <v>2.222100859767238</v>
          </cell>
          <cell r="N44" t="str">
            <v/>
          </cell>
          <cell r="O44" t="str">
            <v/>
          </cell>
          <cell r="P44">
            <v>55.3142502244376</v>
          </cell>
          <cell r="Q44">
            <v>4.0596311529699172</v>
          </cell>
          <cell r="R44">
            <v>-2.7403871412295718E-2</v>
          </cell>
          <cell r="S44">
            <v>2.713801864071272E-4</v>
          </cell>
        </row>
        <row r="45">
          <cell r="B45">
            <v>2028</v>
          </cell>
          <cell r="D45">
            <v>76.906469739496302</v>
          </cell>
          <cell r="E45">
            <v>3.0234823893303555</v>
          </cell>
          <cell r="F45">
            <v>-5.5916987630821556E-3</v>
          </cell>
          <cell r="G45">
            <v>1.6827176033206253E-4</v>
          </cell>
          <cell r="H45">
            <v>39.579309251096646</v>
          </cell>
          <cell r="I45">
            <v>5.0007955213499278</v>
          </cell>
          <cell r="J45">
            <v>-4.7528095301471673E-2</v>
          </cell>
          <cell r="K45">
            <v>3.7371202363341825E-4</v>
          </cell>
          <cell r="L45" t="str">
            <v/>
          </cell>
          <cell r="M45">
            <v>2.1889980824009889</v>
          </cell>
          <cell r="N45" t="str">
            <v/>
          </cell>
          <cell r="O45" t="str">
            <v/>
          </cell>
          <cell r="P45">
            <v>54.503765873805747</v>
          </cell>
          <cell r="Q45">
            <v>4.0039433689710595</v>
          </cell>
          <cell r="R45">
            <v>-2.6894838524070607E-2</v>
          </cell>
          <cell r="S45">
            <v>2.6671256647289204E-4</v>
          </cell>
        </row>
        <row r="46">
          <cell r="B46">
            <v>2029</v>
          </cell>
          <cell r="D46">
            <v>75.976761836246339</v>
          </cell>
          <cell r="E46">
            <v>2.9869320772146248</v>
          </cell>
          <cell r="F46">
            <v>-5.5241017644129939E-3</v>
          </cell>
          <cell r="G46">
            <v>1.6623755454931862E-4</v>
          </cell>
          <cell r="H46">
            <v>39.242858209184398</v>
          </cell>
          <cell r="I46">
            <v>4.9582853589599232</v>
          </cell>
          <cell r="J46">
            <v>-4.7124074173087727E-2</v>
          </cell>
          <cell r="K46">
            <v>3.7053521731451769E-4</v>
          </cell>
          <cell r="L46" t="str">
            <v/>
          </cell>
          <cell r="M46">
            <v>2.1542897399774366</v>
          </cell>
          <cell r="N46" t="str">
            <v/>
          </cell>
          <cell r="O46" t="str">
            <v/>
          </cell>
          <cell r="P46">
            <v>53.704089771007887</v>
          </cell>
          <cell r="Q46">
            <v>3.9487185576152886</v>
          </cell>
          <cell r="R46">
            <v>-2.6392821469802166E-2</v>
          </cell>
          <cell r="S46">
            <v>2.6210865532978929E-4</v>
          </cell>
        </row>
        <row r="47">
          <cell r="B47">
            <v>2030</v>
          </cell>
          <cell r="D47">
            <v>75.05916288560131</v>
          </cell>
          <cell r="E47">
            <v>2.9508578135390104</v>
          </cell>
          <cell r="F47">
            <v>-5.4573851808185688E-3</v>
          </cell>
          <cell r="G47">
            <v>1.642298432185696E-4</v>
          </cell>
          <cell r="H47">
            <v>38.909719579015089</v>
          </cell>
          <cell r="I47">
            <v>4.9161937155921676</v>
          </cell>
          <cell r="J47">
            <v>-4.6724030694237743E-2</v>
          </cell>
          <cell r="K47">
            <v>3.673896871375962E-4</v>
          </cell>
          <cell r="L47" t="str">
            <v/>
          </cell>
          <cell r="M47">
            <v>2.1611997220286248</v>
          </cell>
          <cell r="N47" t="str">
            <v/>
          </cell>
          <cell r="O47" t="str">
            <v/>
          </cell>
          <cell r="P47">
            <v>52.915074915061808</v>
          </cell>
          <cell r="Q47">
            <v>3.8962123993817905</v>
          </cell>
          <cell r="R47">
            <v>-2.5897725286954349E-2</v>
          </cell>
          <cell r="S47">
            <v>2.5756758943474564E-4</v>
          </cell>
        </row>
        <row r="48">
          <cell r="B48">
            <v>2031</v>
          </cell>
          <cell r="D48">
            <v>74.902832492262107</v>
          </cell>
          <cell r="E48">
            <v>2.9447118781868977</v>
          </cell>
          <cell r="F48">
            <v>-5.4460187448083343E-3</v>
          </cell>
          <cell r="G48">
            <v>1.6388779149561708E-4</v>
          </cell>
          <cell r="H48">
            <v>38.838912086252378</v>
          </cell>
          <cell r="I48">
            <v>4.9072472786940544</v>
          </cell>
          <cell r="J48">
            <v>-4.663900280143813E-2</v>
          </cell>
          <cell r="K48">
            <v>3.6672111530272942E-4</v>
          </cell>
          <cell r="L48" t="str">
            <v/>
          </cell>
          <cell r="M48">
            <v>2.1629185758637641</v>
          </cell>
          <cell r="N48" t="str">
            <v/>
          </cell>
          <cell r="O48" t="str">
            <v/>
          </cell>
          <cell r="P48">
            <v>52.810005479457189</v>
          </cell>
          <cell r="Q48">
            <v>3.8890771630944996</v>
          </cell>
          <cell r="R48">
            <v>-2.5849958861212247E-2</v>
          </cell>
          <cell r="S48">
            <v>2.5707967061533752E-4</v>
          </cell>
        </row>
        <row r="49">
          <cell r="B49">
            <v>2032</v>
          </cell>
          <cell r="D49">
            <v>74.747693276032905</v>
          </cell>
          <cell r="E49">
            <v>2.9386127724841864</v>
          </cell>
          <cell r="F49">
            <v>-5.4347389166426053E-3</v>
          </cell>
          <cell r="G49">
            <v>1.6354834607444703E-4</v>
          </cell>
          <cell r="H49">
            <v>38.768684121851344</v>
          </cell>
          <cell r="I49">
            <v>4.8983740644693654</v>
          </cell>
          <cell r="J49">
            <v>-4.6554670824755437E-2</v>
          </cell>
          <cell r="K49">
            <v>3.6605801543594137E-4</v>
          </cell>
          <cell r="L49" t="str">
            <v/>
          </cell>
          <cell r="M49">
            <v>2.1646387967444731</v>
          </cell>
          <cell r="N49" t="str">
            <v/>
          </cell>
          <cell r="O49" t="str">
            <v/>
          </cell>
          <cell r="P49">
            <v>52.70575672739843</v>
          </cell>
          <cell r="Q49">
            <v>3.8819996013833604</v>
          </cell>
          <cell r="R49">
            <v>-2.5802580527988679E-2</v>
          </cell>
          <cell r="S49">
            <v>2.5659565928860708E-4</v>
          </cell>
        </row>
        <row r="50">
          <cell r="B50">
            <v>2033</v>
          </cell>
          <cell r="D50">
            <v>74.593738801246388</v>
          </cell>
          <cell r="E50">
            <v>2.9325602434206068</v>
          </cell>
          <cell r="F50">
            <v>-5.4235452283982908E-3</v>
          </cell>
          <cell r="G50">
            <v>1.6321149287378553E-4</v>
          </cell>
          <cell r="H50">
            <v>38.699032973043096</v>
          </cell>
          <cell r="I50">
            <v>4.8895737301631907</v>
          </cell>
          <cell r="J50">
            <v>-4.6471031506610354E-2</v>
          </cell>
          <cell r="K50">
            <v>3.6540036192298127E-4</v>
          </cell>
          <cell r="L50" t="str">
            <v/>
          </cell>
          <cell r="M50">
            <v>2.1663603857579972</v>
          </cell>
          <cell r="N50" t="str">
            <v/>
          </cell>
          <cell r="O50" t="str">
            <v/>
          </cell>
          <cell r="P50">
            <v>52.602324435041325</v>
          </cell>
          <cell r="Q50">
            <v>3.8749794296445725</v>
          </cell>
          <cell r="R50">
            <v>-2.5755588442833776E-2</v>
          </cell>
          <cell r="S50">
            <v>2.5611553632728392E-4</v>
          </cell>
        </row>
        <row r="51">
          <cell r="B51">
            <v>2034</v>
          </cell>
          <cell r="D51">
            <v>74.440962669207778</v>
          </cell>
          <cell r="E51">
            <v>2.9265540394394156</v>
          </cell>
          <cell r="F51">
            <v>-5.4124372148404917E-3</v>
          </cell>
          <cell r="G51">
            <v>1.6287721789325476E-4</v>
          </cell>
          <cell r="H51">
            <v>38.629955941791138</v>
          </cell>
          <cell r="I51">
            <v>4.8808459348820392</v>
          </cell>
          <cell r="J51">
            <v>-4.6388081607114696E-2</v>
          </cell>
          <cell r="K51">
            <v>3.6474812928870292E-4</v>
          </cell>
          <cell r="L51" t="str">
            <v/>
          </cell>
          <cell r="M51">
            <v>2.1680833439924436</v>
          </cell>
          <cell r="N51" t="str">
            <v/>
          </cell>
          <cell r="O51" t="str">
            <v/>
          </cell>
          <cell r="P51">
            <v>52.499704402379223</v>
          </cell>
          <cell r="Q51">
            <v>3.8680163648556469</v>
          </cell>
          <cell r="R51">
            <v>-2.5708980771379775E-2</v>
          </cell>
          <cell r="S51">
            <v>2.5563928270994009E-4</v>
          </cell>
        </row>
        <row r="52">
          <cell r="B52">
            <v>2035</v>
          </cell>
          <cell r="D52">
            <v>74.289358517984923</v>
          </cell>
          <cell r="E52">
            <v>2.9205939104291474</v>
          </cell>
          <cell r="F52">
            <v>-5.4014144134072401E-3</v>
          </cell>
          <cell r="G52">
            <v>1.625455072129137E-4</v>
          </cell>
          <cell r="H52">
            <v>38.561450344714871</v>
          </cell>
          <cell r="I52">
            <v>4.8721903395841775</v>
          </cell>
          <cell r="J52">
            <v>-4.6305817903979585E-2</v>
          </cell>
          <cell r="K52">
            <v>3.6410129219634311E-4</v>
          </cell>
          <cell r="L52" t="str">
            <v/>
          </cell>
          <cell r="M52">
            <v>2.1698076725367885</v>
          </cell>
          <cell r="N52" t="str">
            <v/>
          </cell>
          <cell r="O52" t="str">
            <v/>
          </cell>
          <cell r="P52">
            <v>52.397892453111325</v>
          </cell>
          <cell r="Q52">
            <v>3.8611101255668867</v>
          </cell>
          <cell r="R52">
            <v>-2.5662755689288139E-2</v>
          </cell>
          <cell r="S52">
            <v>2.5516687952042332E-4</v>
          </cell>
        </row>
        <row r="53">
          <cell r="B53">
            <v>2036</v>
          </cell>
          <cell r="D53">
            <v>74.562906997845175</v>
          </cell>
          <cell r="E53">
            <v>2.9313481293432009</v>
          </cell>
          <cell r="F53">
            <v>-5.421303516387246E-3</v>
          </cell>
          <cell r="G53">
            <v>1.631440327257628E-4</v>
          </cell>
          <cell r="H53">
            <v>38.696398972955478</v>
          </cell>
          <cell r="I53">
            <v>4.8892409275930939</v>
          </cell>
          <cell r="J53">
            <v>-4.646786851540214E-2</v>
          </cell>
          <cell r="K53">
            <v>3.6537549141559694E-4</v>
          </cell>
          <cell r="L53" t="str">
            <v/>
          </cell>
          <cell r="M53">
            <v>2.1698076725367885</v>
          </cell>
          <cell r="N53" t="str">
            <v/>
          </cell>
          <cell r="O53" t="str">
            <v/>
          </cell>
          <cell r="P53">
            <v>52.587294383662432</v>
          </cell>
          <cell r="Q53">
            <v>3.8744563838798523</v>
          </cell>
          <cell r="R53">
            <v>-2.5753002936407986E-2</v>
          </cell>
          <cell r="S53">
            <v>2.5607305205671555E-4</v>
          </cell>
        </row>
        <row r="54">
          <cell r="B54">
            <v>2037</v>
          </cell>
          <cell r="D54">
            <v>74.838327265935163</v>
          </cell>
          <cell r="E54">
            <v>2.9421759352879464</v>
          </cell>
          <cell r="F54">
            <v>-5.4413287129360301E-3</v>
          </cell>
          <cell r="G54">
            <v>1.637466537211045E-4</v>
          </cell>
          <cell r="H54">
            <v>38.83227100334436</v>
          </cell>
          <cell r="I54">
            <v>4.9064081862921984</v>
          </cell>
          <cell r="J54">
            <v>-4.6631027977538236E-2</v>
          </cell>
          <cell r="K54">
            <v>3.6665840949558849E-4</v>
          </cell>
          <cell r="L54" t="str">
            <v/>
          </cell>
          <cell r="M54">
            <v>2.1698076725367885</v>
          </cell>
          <cell r="N54" t="str">
            <v/>
          </cell>
          <cell r="O54" t="str">
            <v/>
          </cell>
          <cell r="P54">
            <v>52.777992319603435</v>
          </cell>
          <cell r="Q54">
            <v>3.8878939655634834</v>
          </cell>
          <cell r="R54">
            <v>-2.5843867711122976E-2</v>
          </cell>
          <cell r="S54">
            <v>2.5698542518709771E-4</v>
          </cell>
        </row>
        <row r="55">
          <cell r="B55">
            <v>2038</v>
          </cell>
          <cell r="D55">
            <v>75.115632130190008</v>
          </cell>
          <cell r="E55">
            <v>2.9530778317914548</v>
          </cell>
          <cell r="F55">
            <v>-5.4614909342901351E-3</v>
          </cell>
          <cell r="G55">
            <v>1.6435339822276821E-4</v>
          </cell>
          <cell r="H55">
            <v>38.969072754371304</v>
          </cell>
          <cell r="I55">
            <v>4.9236929140146612</v>
          </cell>
          <cell r="J55">
            <v>-4.6795303877831686E-2</v>
          </cell>
          <cell r="K55">
            <v>3.6795010609616665E-4</v>
          </cell>
          <cell r="L55" t="str">
            <v/>
          </cell>
          <cell r="M55">
            <v>2.1698076725367885</v>
          </cell>
          <cell r="N55" t="str">
            <v/>
          </cell>
          <cell r="O55" t="str">
            <v/>
          </cell>
          <cell r="P55">
            <v>52.969995129006413</v>
          </cell>
          <cell r="Q55">
            <v>3.9014234955088805</v>
          </cell>
          <cell r="R55">
            <v>-2.5935354238939643E-2</v>
          </cell>
          <cell r="S55">
            <v>2.5790404133987747E-4</v>
          </cell>
        </row>
        <row r="56">
          <cell r="B56">
            <v>2039</v>
          </cell>
          <cell r="D56">
            <v>75.394834486184607</v>
          </cell>
          <cell r="E56">
            <v>2.9640543258272443</v>
          </cell>
          <cell r="F56">
            <v>-5.4817911180581966E-3</v>
          </cell>
          <cell r="G56">
            <v>1.6496429444633965E-4</v>
          </cell>
          <cell r="H56">
            <v>39.106810587761075</v>
          </cell>
          <cell r="I56">
            <v>4.941095914556338</v>
          </cell>
          <cell r="J56">
            <v>-4.6960703855644229E-2</v>
          </cell>
          <cell r="K56">
            <v>3.6925064128540944E-4</v>
          </cell>
          <cell r="L56" t="str">
            <v/>
          </cell>
          <cell r="M56">
            <v>2.1698076725367885</v>
          </cell>
          <cell r="N56" t="str">
            <v/>
          </cell>
          <cell r="O56" t="str">
            <v/>
          </cell>
          <cell r="P56">
            <v>53.163311740624252</v>
          </cell>
          <cell r="Q56">
            <v>3.9150456028830329</v>
          </cell>
          <cell r="R56">
            <v>-2.6027466774278023E-2</v>
          </cell>
          <cell r="S56">
            <v>2.5882894323368301E-4</v>
          </cell>
        </row>
        <row r="57">
          <cell r="B57">
            <v>2040</v>
          </cell>
          <cell r="D57">
            <v>75.675947317733431</v>
          </cell>
          <cell r="E57">
            <v>2.9751059278378635</v>
          </cell>
          <cell r="F57">
            <v>-5.5022302082645544E-3</v>
          </cell>
          <cell r="G57">
            <v>1.6557937080047321E-4</v>
          </cell>
          <cell r="H57">
            <v>39.245490908769355</v>
          </cell>
          <cell r="I57">
            <v>4.9586179972131585</v>
          </cell>
          <cell r="J57">
            <v>-4.7127235602610923E-2</v>
          </cell>
          <cell r="K57">
            <v>3.7056007554241838E-4</v>
          </cell>
          <cell r="L57" t="str">
            <v/>
          </cell>
          <cell r="M57">
            <v>2.1698076725367885</v>
          </cell>
          <cell r="N57" t="str">
            <v/>
          </cell>
          <cell r="O57" t="str">
            <v/>
          </cell>
          <cell r="P57">
            <v>53.357951144305957</v>
          </cell>
          <cell r="Q57">
            <v>3.9287609211580841</v>
          </cell>
          <cell r="R57">
            <v>-2.6120209600669547E-2</v>
          </cell>
          <cell r="S57">
            <v>2.5976017387945011E-4</v>
          </cell>
        </row>
        <row r="58">
          <cell r="B58">
            <v>2041</v>
          </cell>
          <cell r="D58">
            <v>75.95898369749419</v>
          </cell>
          <cell r="E58">
            <v>2.9862331517586234</v>
          </cell>
          <cell r="F58">
            <v>-5.5228091553931428E-3</v>
          </cell>
          <cell r="G58">
            <v>1.6619865588821269E-4</v>
          </cell>
          <cell r="H58">
            <v>39.385120166480512</v>
          </cell>
          <cell r="I58">
            <v>4.9762599768187536</v>
          </cell>
          <cell r="J58">
            <v>-4.7294906862997713E-2</v>
          </cell>
          <cell r="K58">
            <v>3.7187846976013012E-4</v>
          </cell>
          <cell r="L58" t="str">
            <v/>
          </cell>
          <cell r="M58">
            <v>2.1698076725367885</v>
          </cell>
          <cell r="N58" t="str">
            <v/>
          </cell>
          <cell r="O58" t="str">
            <v/>
          </cell>
          <cell r="P58">
            <v>53.553922391414588</v>
          </cell>
          <cell r="Q58">
            <v>3.9425700881407835</v>
          </cell>
          <cell r="R58">
            <v>-2.621358703095622E-2</v>
          </cell>
          <cell r="S58">
            <v>2.606977765824218E-4</v>
          </cell>
        </row>
        <row r="59">
          <cell r="B59">
            <v>2042</v>
          </cell>
          <cell r="D59">
            <v>76.243956787575925</v>
          </cell>
          <cell r="E59">
            <v>2.9974365150415001</v>
          </cell>
          <cell r="F59">
            <v>-5.5435289164317038E-3</v>
          </cell>
          <cell r="G59">
            <v>1.6682217850832188E-4</v>
          </cell>
          <cell r="H59">
            <v>39.525704854107595</v>
          </cell>
          <cell r="I59">
            <v>4.9940226737823545</v>
          </cell>
          <cell r="J59">
            <v>-4.7463725434061639E-2</v>
          </cell>
          <cell r="K59">
            <v>3.7320588524814881E-4</v>
          </cell>
          <cell r="L59" t="str">
            <v/>
          </cell>
          <cell r="M59">
            <v>2.1698076725367885</v>
          </cell>
          <cell r="N59" t="str">
            <v/>
          </cell>
          <cell r="O59" t="str">
            <v/>
          </cell>
          <cell r="P59">
            <v>53.75123459524832</v>
          </cell>
          <cell r="Q59">
            <v>3.9564737460021528</v>
          </cell>
          <cell r="R59">
            <v>-2.6307603407491192E-2</v>
          </cell>
          <cell r="S59">
            <v>2.6164179494416265E-4</v>
          </cell>
        </row>
        <row r="60">
          <cell r="B60">
            <v>2043</v>
          </cell>
          <cell r="D60">
            <v>76.530879840150888</v>
          </cell>
          <cell r="E60">
            <v>3.0087165386791965</v>
          </cell>
          <cell r="F60">
            <v>-5.5643904549162772E-3</v>
          </cell>
          <cell r="G60">
            <v>1.6744996765662344E-4</v>
          </cell>
          <cell r="H60">
            <v>39.667251509294204</v>
          </cell>
          <cell r="I60">
            <v>5.0119069141269392</v>
          </cell>
          <cell r="J60">
            <v>-4.7633699166413405E-2</v>
          </cell>
          <cell r="K60">
            <v>3.7454238373559685E-4</v>
          </cell>
          <cell r="L60" t="str">
            <v/>
          </cell>
          <cell r="M60">
            <v>2.1698076725367885</v>
          </cell>
          <cell r="N60" t="str">
            <v/>
          </cell>
          <cell r="O60" t="str">
            <v/>
          </cell>
          <cell r="P60">
            <v>53.949896931464117</v>
          </cell>
          <cell r="Q60">
            <v>3.9704725413073452</v>
          </cell>
          <cell r="R60">
            <v>-2.640226310234068E-2</v>
          </cell>
          <cell r="S60">
            <v>2.6259227286458604E-4</v>
          </cell>
        </row>
        <row r="61">
          <cell r="B61">
            <v>2044</v>
          </cell>
          <cell r="D61">
            <v>76.819766198070937</v>
          </cell>
          <cell r="E61">
            <v>3.0200737472293699</v>
          </cell>
          <cell r="F61">
            <v>-5.5853947409760145E-3</v>
          </cell>
          <cell r="G61">
            <v>1.6808205252734739E-4</v>
          </cell>
          <cell r="H61">
            <v>39.809766714418544</v>
          </cell>
          <cell r="I61">
            <v>5.0299135295276445</v>
          </cell>
          <cell r="J61">
            <v>-4.7804835964382432E-2</v>
          </cell>
          <cell r="K61">
            <v>3.7588802737398541E-4</v>
          </cell>
          <cell r="L61" t="str">
            <v/>
          </cell>
          <cell r="M61">
            <v>2.1698076725367885</v>
          </cell>
          <cell r="N61" t="str">
            <v/>
          </cell>
          <cell r="O61" t="str">
            <v/>
          </cell>
          <cell r="P61">
            <v>54.149918638504445</v>
          </cell>
          <cell r="Q61">
            <v>3.9845671250457104</v>
          </cell>
          <cell r="R61">
            <v>-2.6497570517487277E-2</v>
          </cell>
          <cell r="S61">
            <v>2.6354925454399571E-4</v>
          </cell>
        </row>
        <row r="62">
          <cell r="B62">
            <v>2045</v>
          </cell>
          <cell r="D62">
            <v>77.110629295487982</v>
          </cell>
          <cell r="E62">
            <v>3.031508668839026</v>
          </cell>
          <cell r="F62">
            <v>-5.6065427513782894E-3</v>
          </cell>
          <cell r="G62">
            <v>1.6871846251448881E-4</v>
          </cell>
          <cell r="H62">
            <v>39.953257096899549</v>
          </cell>
          <cell r="I62">
            <v>5.048043357350446</v>
          </cell>
          <cell r="J62">
            <v>-4.7977143786384478E-2</v>
          </cell>
          <cell r="K62">
            <v>3.7724287874010479E-4</v>
          </cell>
          <cell r="L62" t="str">
            <v/>
          </cell>
          <cell r="M62">
            <v>2.1698076725367885</v>
          </cell>
          <cell r="N62" t="str">
            <v/>
          </cell>
          <cell r="O62" t="str">
            <v/>
          </cell>
          <cell r="P62">
            <v>54.351309018026967</v>
          </cell>
          <cell r="Q62">
            <v>3.9987581526610723</v>
          </cell>
          <cell r="R62">
            <v>-2.6593530085034681E-2</v>
          </cell>
          <cell r="S62">
            <v>2.6451278448514129E-4</v>
          </cell>
        </row>
        <row r="63">
          <cell r="B63">
            <v>2046</v>
          </cell>
          <cell r="D63">
            <v>77.403482658478765</v>
          </cell>
          <cell r="E63">
            <v>3.043021835269081</v>
          </cell>
          <cell r="F63">
            <v>-5.6278354695741299E-3</v>
          </cell>
          <cell r="G63">
            <v>1.6935922721317468E-4</v>
          </cell>
          <cell r="H63">
            <v>40.097729329505064</v>
          </cell>
          <cell r="I63">
            <v>5.0662972406910978</v>
          </cell>
          <cell r="J63">
            <v>-4.8150630645291723E-2</v>
          </cell>
          <cell r="K63">
            <v>3.786070008389347E-4</v>
          </cell>
          <cell r="L63" t="str">
            <v/>
          </cell>
          <cell r="M63">
            <v>2.1698076725367885</v>
          </cell>
          <cell r="N63" t="str">
            <v/>
          </cell>
          <cell r="O63" t="str">
            <v/>
          </cell>
          <cell r="P63">
            <v>54.554077435337035</v>
          </cell>
          <cell r="Q63">
            <v>4.0130462840822103</v>
          </cell>
          <cell r="R63">
            <v>-2.669014626741379E-2</v>
          </cell>
          <cell r="S63">
            <v>2.6548290749528789E-4</v>
          </cell>
        </row>
        <row r="64">
          <cell r="B64">
            <v>2047</v>
          </cell>
          <cell r="D64">
            <v>77.698339905673777</v>
          </cell>
          <cell r="E64">
            <v>3.0546137819190866</v>
          </cell>
          <cell r="F64">
            <v>-5.6492738857439389E-3</v>
          </cell>
          <cell r="G64">
            <v>1.7000437642104019E-4</v>
          </cell>
          <cell r="H64">
            <v>40.243190130662128</v>
          </cell>
          <cell r="I64">
            <v>5.0846760284143331</v>
          </cell>
          <cell r="J64">
            <v>-4.8325304608805367E-2</v>
          </cell>
          <cell r="K64">
            <v>3.7998045710657376E-4</v>
          </cell>
          <cell r="L64" t="str">
            <v/>
          </cell>
          <cell r="M64">
            <v>2.1698076725367885</v>
          </cell>
          <cell r="N64" t="str">
            <v/>
          </cell>
          <cell r="O64" t="str">
            <v/>
          </cell>
          <cell r="P64">
            <v>54.758233319823219</v>
          </cell>
          <cell r="Q64">
            <v>4.0274321837535396</v>
          </cell>
          <cell r="R64">
            <v>-2.6787423557590215E-2</v>
          </cell>
          <cell r="S64">
            <v>2.6645966868829953E-4</v>
          </cell>
        </row>
        <row r="65">
          <cell r="B65">
            <v>2048</v>
          </cell>
          <cell r="D65">
            <v>77.99521474889066</v>
          </cell>
          <cell r="E65">
            <v>3.0662850478521331</v>
          </cell>
          <cell r="F65">
            <v>-5.6708589968435513E-3</v>
          </cell>
          <cell r="G65">
            <v>1.7065394013961451E-4</v>
          </cell>
          <cell r="H65">
            <v>40.389646264769432</v>
          </cell>
          <cell r="I65">
            <v>5.103180575193349</v>
          </cell>
          <cell r="J65">
            <v>-4.8501173799830835E-2</v>
          </cell>
          <cell r="K65">
            <v>3.8136331141318985E-4</v>
          </cell>
          <cell r="L65" t="str">
            <v/>
          </cell>
          <cell r="M65">
            <v>2.1698076725367885</v>
          </cell>
          <cell r="N65" t="str">
            <v/>
          </cell>
          <cell r="O65" t="str">
            <v/>
          </cell>
          <cell r="P65">
            <v>54.963786165395824</v>
          </cell>
          <cell r="Q65">
            <v>4.0419165206660237</v>
          </cell>
          <cell r="R65">
            <v>-2.6885366479273219E-2</v>
          </cell>
          <cell r="S65">
            <v>2.674431134867375E-4</v>
          </cell>
        </row>
        <row r="66">
          <cell r="B66">
            <v>2049</v>
          </cell>
          <cell r="D66">
            <v>78.29412099377177</v>
          </cell>
          <cell r="E66">
            <v>3.078036175819912</v>
          </cell>
          <cell r="F66">
            <v>-5.6925918066505904E-3</v>
          </cell>
          <cell r="G66">
            <v>1.7130794857571569E-4</v>
          </cell>
          <cell r="H66">
            <v>40.537104542511884</v>
          </cell>
          <cell r="I66">
            <v>5.1218117415495428</v>
          </cell>
          <cell r="J66">
            <v>-4.8678246396855501E-2</v>
          </cell>
          <cell r="K66">
            <v>3.8275562806599003E-4</v>
          </cell>
          <cell r="L66" t="str">
            <v/>
          </cell>
          <cell r="M66">
            <v>2.1698076725367885</v>
          </cell>
          <cell r="N66" t="str">
            <v/>
          </cell>
          <cell r="O66" t="str">
            <v/>
          </cell>
          <cell r="P66">
            <v>55.17074553092835</v>
          </cell>
          <cell r="Q66">
            <v>4.0564999683882705</v>
          </cell>
          <cell r="R66">
            <v>-2.6983979587126103E-2</v>
          </cell>
          <cell r="S66">
            <v>2.6843328762397227E-4</v>
          </cell>
        </row>
        <row r="67">
          <cell r="B67">
            <v>2050</v>
          </cell>
          <cell r="D67">
            <v>78.595072540426273</v>
          </cell>
          <cell r="E67">
            <v>3.0898677122879592</v>
          </cell>
          <cell r="F67">
            <v>-5.7144733258111483E-3</v>
          </cell>
          <cell r="G67">
            <v>1.7196643214285572E-4</v>
          </cell>
          <cell r="H67">
            <v>40.685571821177305</v>
          </cell>
          <cell r="I67">
            <v>5.140570393892534</v>
          </cell>
          <cell r="J67">
            <v>-4.8856530634329022E-2</v>
          </cell>
          <cell r="K67">
            <v>3.8415747181221114E-4</v>
          </cell>
          <cell r="L67" t="str">
            <v/>
          </cell>
          <cell r="M67">
            <v>2.1698076725367885</v>
          </cell>
          <cell r="N67" t="str">
            <v/>
          </cell>
          <cell r="O67" t="str">
            <v/>
          </cell>
          <cell r="P67">
            <v>55.37912104070206</v>
          </cell>
          <cell r="Q67">
            <v>4.0711832050978636</v>
          </cell>
          <cell r="R67">
            <v>-2.7083267466977978E-2</v>
          </cell>
          <cell r="S67">
            <v>2.6943023714631027E-4</v>
          </cell>
        </row>
        <row r="68">
          <cell r="B68">
            <v>2051</v>
          </cell>
          <cell r="D68">
            <v>78.898083384076443</v>
          </cell>
          <cell r="E68">
            <v>3.1017802074610654</v>
          </cell>
          <cell r="F68">
            <v>-5.7365045718867818E-3</v>
          </cell>
          <cell r="G68">
            <v>1.7262942146265453E-4</v>
          </cell>
          <cell r="H68">
            <v>40.835055004975331</v>
          </cell>
          <cell r="I68">
            <v>5.1594574045604515</v>
          </cell>
          <cell r="J68">
            <v>-4.903603480304624E-2</v>
          </cell>
          <cell r="K68">
            <v>3.8556890784213066E-4</v>
          </cell>
          <cell r="L68" t="str">
            <v/>
          </cell>
          <cell r="M68">
            <v>2.1698076725367885</v>
          </cell>
          <cell r="N68" t="str">
            <v/>
          </cell>
          <cell r="O68" t="str">
            <v/>
          </cell>
          <cell r="P68">
            <v>55.588922384853504</v>
          </cell>
          <cell r="Q68">
            <v>4.0859669136128982</v>
          </cell>
          <cell r="R68">
            <v>-2.7183234736037048E-2</v>
          </cell>
          <cell r="S68">
            <v>2.704340084151354E-4</v>
          </cell>
        </row>
        <row r="69">
          <cell r="B69">
            <v>2052</v>
          </cell>
          <cell r="D69">
            <v>79.203167615708594</v>
          </cell>
          <cell r="E69">
            <v>3.1137742153088666</v>
          </cell>
          <cell r="F69">
            <v>-5.7586865694018398E-3</v>
          </cell>
          <cell r="G69">
            <v>1.7329694736626435E-4</v>
          </cell>
          <cell r="H69">
            <v>40.985561045358487</v>
          </cell>
          <cell r="I69">
            <v>5.1784736518605063</v>
          </cell>
          <cell r="J69">
            <v>-4.9216767250532797E-2</v>
          </cell>
          <cell r="K69">
            <v>3.8699000179209862E-4</v>
          </cell>
          <cell r="L69" t="str">
            <v/>
          </cell>
          <cell r="M69">
            <v>2.1698076725367885</v>
          </cell>
          <cell r="N69" t="str">
            <v/>
          </cell>
          <cell r="O69" t="str">
            <v/>
          </cell>
          <cell r="P69">
            <v>55.800159319825141</v>
          </cell>
          <cell r="Q69">
            <v>4.1008517814237351</v>
          </cell>
          <cell r="R69">
            <v>-2.7283886043105322E-2</v>
          </cell>
          <cell r="S69">
            <v>2.7144464810906492E-4</v>
          </cell>
        </row>
        <row r="70">
          <cell r="B70">
            <v>2053</v>
          </cell>
          <cell r="D70">
            <v>79.510339422728237</v>
          </cell>
          <cell r="E70">
            <v>3.1258502935915979</v>
          </cell>
          <cell r="F70">
            <v>-5.7810203498910948E-3</v>
          </cell>
          <cell r="G70">
            <v>1.7396904089580299E-4</v>
          </cell>
          <cell r="H70">
            <v>41.137096941345433</v>
          </cell>
          <cell r="I70">
            <v>5.1976200201098273</v>
          </cell>
          <cell r="J70">
            <v>-4.9398736381433224E-2</v>
          </cell>
          <cell r="K70">
            <v>3.884208197475892E-4</v>
          </cell>
          <cell r="L70" t="str">
            <v/>
          </cell>
          <cell r="M70">
            <v>2.1698076725367885</v>
          </cell>
          <cell r="N70" t="str">
            <v/>
          </cell>
          <cell r="O70" t="str">
            <v/>
          </cell>
          <cell r="P70">
            <v>56.01284166881905</v>
          </cell>
          <cell r="Q70">
            <v>4.1158385007249683</v>
          </cell>
          <cell r="R70">
            <v>-2.7385226068794781E-2</v>
          </cell>
          <cell r="S70">
            <v>2.7246220322612002E-4</v>
          </cell>
        </row>
        <row r="71">
          <cell r="B71">
            <v>2054</v>
          </cell>
          <cell r="D71">
            <v>79.819613089619963</v>
          </cell>
          <cell r="E71">
            <v>3.1380090038860398</v>
          </cell>
          <cell r="F71">
            <v>-5.8035069519477255E-3</v>
          </cell>
          <cell r="G71">
            <v>1.7464573330579797E-4</v>
          </cell>
          <cell r="H71">
            <v>41.289669739846467</v>
          </cell>
          <cell r="I71">
            <v>5.2168973996765935</v>
          </cell>
          <cell r="J71">
            <v>-4.9581950657901892E-2</v>
          </cell>
          <cell r="K71">
            <v>3.8986142824627479E-4</v>
          </cell>
          <cell r="L71" t="str">
            <v/>
          </cell>
          <cell r="M71">
            <v>2.1698076725367885</v>
          </cell>
          <cell r="N71" t="str">
            <v/>
          </cell>
          <cell r="O71" t="str">
            <v/>
          </cell>
          <cell r="P71">
            <v>56.22697932225379</v>
          </cell>
          <cell r="Q71">
            <v>4.1309277684476182</v>
          </cell>
          <cell r="R71">
            <v>-2.7487259525745072E-2</v>
          </cell>
          <cell r="S71">
            <v>2.7348672108591161E-4</v>
          </cell>
        </row>
        <row r="72">
          <cell r="B72">
            <v>2055</v>
          </cell>
          <cell r="D72">
            <v>80.131002998611663</v>
          </cell>
          <cell r="E72">
            <v>3.1502509116116268</v>
          </cell>
          <cell r="F72">
            <v>-5.8261474212716073E-3</v>
          </cell>
          <cell r="G72">
            <v>1.7532705606463945E-4</v>
          </cell>
          <cell r="H72">
            <v>41.443286535991213</v>
          </cell>
          <cell r="I72">
            <v>5.2363066870214325</v>
          </cell>
          <cell r="J72">
            <v>-4.9766418599996455E-2</v>
          </cell>
          <cell r="K72">
            <v>3.9131189428111962E-4</v>
          </cell>
          <cell r="L72" t="str">
            <v/>
          </cell>
          <cell r="M72">
            <v>2.1698076725367885</v>
          </cell>
          <cell r="N72" t="str">
            <v/>
          </cell>
          <cell r="O72" t="str">
            <v/>
          </cell>
          <cell r="P72">
            <v>56.442582238224276</v>
          </cell>
          <cell r="Q72">
            <v>4.1461202862915378</v>
          </cell>
          <cell r="R72">
            <v>-2.7589991158842631E-2</v>
          </cell>
          <cell r="S72">
            <v>2.7451824933184062E-4</v>
          </cell>
        </row>
        <row r="73">
          <cell r="B73">
            <v>2056</v>
          </cell>
          <cell r="D73">
            <v>80.444523630343269</v>
          </cell>
          <cell r="E73">
            <v>3.1625765860567432</v>
          </cell>
          <cell r="F73">
            <v>-5.8489428107179392E-3</v>
          </cell>
          <cell r="G73">
            <v>1.7601304085604385E-4</v>
          </cell>
          <cell r="H73">
            <v>41.597954473458536</v>
          </cell>
          <cell r="I73">
            <v>5.2558487847391078</v>
          </cell>
          <cell r="J73">
            <v>-4.9952148786074062E-2</v>
          </cell>
          <cell r="K73">
            <v>3.9277228530349502E-4</v>
          </cell>
          <cell r="L73" t="str">
            <v/>
          </cell>
          <cell r="M73">
            <v>2.1698076725367885</v>
          </cell>
          <cell r="N73" t="str">
            <v/>
          </cell>
          <cell r="O73" t="str">
            <v/>
          </cell>
          <cell r="P73">
            <v>56.659660442964807</v>
          </cell>
          <cell r="Q73">
            <v>4.1614167607580441</v>
          </cell>
          <cell r="R73">
            <v>-2.7693425745441345E-2</v>
          </cell>
          <cell r="S73">
            <v>2.7555683593331355E-4</v>
          </cell>
        </row>
        <row r="74">
          <cell r="B74">
            <v>2057</v>
          </cell>
          <cell r="D74">
            <v>80.760189564540283</v>
          </cell>
          <cell r="E74">
            <v>3.1749866004051985</v>
          </cell>
          <cell r="F74">
            <v>-5.8718941803462101E-3</v>
          </cell>
          <cell r="G74">
            <v>1.7670371958052725E-4</v>
          </cell>
          <cell r="H74">
            <v>41.753680744808833</v>
          </cell>
          <cell r="I74">
            <v>5.2755246016005026</v>
          </cell>
          <cell r="J74">
            <v>-5.0139149853190325E-2</v>
          </cell>
          <cell r="K74">
            <v>3.9424266922631683E-4</v>
          </cell>
          <cell r="L74" t="str">
            <v/>
          </cell>
          <cell r="M74">
            <v>2.1698076725367885</v>
          </cell>
          <cell r="N74" t="str">
            <v/>
          </cell>
          <cell r="O74" t="str">
            <v/>
          </cell>
          <cell r="P74">
            <v>56.878224031315511</v>
          </cell>
          <cell r="Q74">
            <v>4.1768179031827781</v>
          </cell>
          <cell r="R74">
            <v>-2.7797568095584722E-2</v>
          </cell>
          <cell r="S74">
            <v>2.7660252918797353E-4</v>
          </cell>
        </row>
        <row r="75">
          <cell r="B75">
            <v>2058</v>
          </cell>
          <cell r="D75">
            <v>81.078015480691732</v>
          </cell>
          <cell r="E75">
            <v>3.1874815317628808</v>
          </cell>
          <cell r="F75">
            <v>-5.8950025974694939E-3</v>
          </cell>
          <cell r="G75">
            <v>1.7739912435688884E-4</v>
          </cell>
          <cell r="H75">
            <v>41.910472591818412</v>
          </cell>
          <cell r="I75">
            <v>5.2953350525948686</v>
          </cell>
          <cell r="J75">
            <v>-5.0327430497500929E-2</v>
          </cell>
          <cell r="K75">
            <v>3.9572311442720296E-4</v>
          </cell>
          <cell r="L75" t="str">
            <v/>
          </cell>
          <cell r="M75">
            <v>2.1698076725367885</v>
          </cell>
          <cell r="N75" t="str">
            <v/>
          </cell>
          <cell r="O75" t="str">
            <v/>
          </cell>
          <cell r="P75">
            <v>57.098283167191575</v>
          </cell>
          <cell r="Q75">
            <v>4.1923244297687754</v>
          </cell>
          <cell r="R75">
            <v>-2.7902423052229567E-2</v>
          </cell>
          <cell r="S75">
            <v>2.7765537772394595E-4</v>
          </cell>
        </row>
        <row r="76">
          <cell r="B76">
            <v>2059</v>
          </cell>
          <cell r="D76">
            <v>81.398016158732759</v>
          </cell>
          <cell r="E76">
            <v>3.200061961184594</v>
          </cell>
          <cell r="F76">
            <v>-5.9182691367040807E-3</v>
          </cell>
          <cell r="G76">
            <v>1.780992875237045E-4</v>
          </cell>
          <cell r="H76">
            <v>42.068337305816335</v>
          </cell>
          <cell r="I76">
            <v>5.3152810589723822</v>
          </cell>
          <cell r="J76">
            <v>-5.0516999474666056E-2</v>
          </cell>
          <cell r="K76">
            <v>3.9721368975165325E-4</v>
          </cell>
          <cell r="L76" t="str">
            <v/>
          </cell>
          <cell r="M76">
            <v>2.1698076725367885</v>
          </cell>
          <cell r="N76" t="str">
            <v/>
          </cell>
          <cell r="O76" t="str">
            <v/>
          </cell>
          <cell r="P76">
            <v>57.319848084056041</v>
          </cell>
          <cell r="Q76">
            <v>4.2079370616197789</v>
          </cell>
          <cell r="R76">
            <v>-2.8007995491471201E-2</v>
          </cell>
          <cell r="S76">
            <v>2.7871543050209997E-4</v>
          </cell>
        </row>
        <row r="77">
          <cell r="B77">
            <v>2060</v>
          </cell>
          <cell r="D77">
            <v>81.720206479732056</v>
          </cell>
          <cell r="E77">
            <v>3.2127284737010799</v>
          </cell>
          <cell r="F77">
            <v>-5.9416948800194522E-3</v>
          </cell>
          <cell r="G77">
            <v>1.7880424164083076E-4</v>
          </cell>
          <cell r="H77">
            <v>42.227282228023419</v>
          </cell>
          <cell r="I77">
            <v>5.3353635482869848</v>
          </cell>
          <cell r="J77">
            <v>-5.0707865600257522E-2</v>
          </cell>
          <cell r="K77">
            <v>3.9871446451625125E-4</v>
          </cell>
          <cell r="L77" t="str">
            <v/>
          </cell>
          <cell r="M77">
            <v>2.1698076725367885</v>
          </cell>
          <cell r="N77" t="str">
            <v/>
          </cell>
          <cell r="O77" t="str">
            <v/>
          </cell>
          <cell r="P77">
            <v>57.542929085395627</v>
          </cell>
          <cell r="Q77">
            <v>4.2236565247737712</v>
          </cell>
          <cell r="R77">
            <v>-2.81142903227702E-2</v>
          </cell>
          <cell r="S77">
            <v>2.7978273681832539E-4</v>
          </cell>
        </row>
        <row r="78">
          <cell r="B78">
            <v>2061</v>
          </cell>
          <cell r="D78">
            <v>82.044601426583753</v>
          </cell>
          <cell r="E78">
            <v>3.2254816583462222</v>
          </cell>
          <cell r="F78">
            <v>-5.9652809167885946E-3</v>
          </cell>
          <cell r="G78">
            <v>1.7951401949091881E-4</v>
          </cell>
          <cell r="H78">
            <v>42.387314749893712</v>
          </cell>
          <cell r="I78">
            <v>5.35558345443952</v>
          </cell>
          <cell r="J78">
            <v>-5.0900037750168797E-2</v>
          </cell>
          <cell r="K78">
            <v>4.0022550851188769E-4</v>
          </cell>
          <cell r="L78" t="str">
            <v/>
          </cell>
          <cell r="M78">
            <v>2.1698076725367885</v>
          </cell>
          <cell r="N78" t="str">
            <v/>
          </cell>
          <cell r="O78" t="str">
            <v/>
          </cell>
          <cell r="P78">
            <v>57.76753654519991</v>
          </cell>
          <cell r="Q78">
            <v>4.2394835502367361</v>
          </cell>
          <cell r="R78">
            <v>-2.8221312489180743E-2</v>
          </cell>
          <cell r="S78">
            <v>2.8085734630582519E-4</v>
          </cell>
        </row>
        <row r="79">
          <cell r="B79">
            <v>2062</v>
          </cell>
          <cell r="D79">
            <v>82.371216084704201</v>
          </cell>
          <cell r="E79">
            <v>3.2383221081844389</v>
          </cell>
          <cell r="F79">
            <v>-5.9890283438386585E-3</v>
          </cell>
          <cell r="G79">
            <v>1.8022865408093896E-4</v>
          </cell>
          <cell r="H79">
            <v>42.548442313458125</v>
          </cell>
          <cell r="I79">
            <v>5.375941717721151</v>
          </cell>
          <cell r="J79">
            <v>-5.1093524861027639E-2</v>
          </cell>
          <cell r="K79">
            <v>4.0174689200700545E-4</v>
          </cell>
          <cell r="L79" t="str">
            <v/>
          </cell>
          <cell r="M79">
            <v>2.1698076725367885</v>
          </cell>
          <cell r="N79" t="str">
            <v/>
          </cell>
          <cell r="O79" t="str">
            <v/>
          </cell>
          <cell r="P79">
            <v>57.993680908443707</v>
          </cell>
          <cell r="Q79">
            <v>4.2554188740166508</v>
          </cell>
          <cell r="R79">
            <v>-2.8329066967580398E-2</v>
          </cell>
          <cell r="S79">
            <v>2.8193930893742315E-4</v>
          </cell>
        </row>
        <row r="80">
          <cell r="B80">
            <v>2063</v>
          </cell>
          <cell r="D80">
            <v>82.700065642733605</v>
          </cell>
          <cell r="E80">
            <v>3.2512504203382644</v>
          </cell>
          <cell r="F80">
            <v>-6.0129382655019683E-3</v>
          </cell>
          <cell r="G80">
            <v>1.809481786437159E-4</v>
          </cell>
          <cell r="H80">
            <v>42.710672411670586</v>
          </cell>
          <cell r="I80">
            <v>5.3964392848571041</v>
          </cell>
          <cell r="J80">
            <v>-5.1288335930611807E-2</v>
          </cell>
          <cell r="K80">
            <v>4.0327868575086784E-4</v>
          </cell>
          <cell r="L80" t="str">
            <v/>
          </cell>
          <cell r="M80">
            <v>2.1698076725367885</v>
          </cell>
          <cell r="N80" t="str">
            <v/>
          </cell>
          <cell r="O80" t="str">
            <v/>
          </cell>
          <cell r="P80">
            <v>58.221372691572853</v>
          </cell>
          <cell r="Q80">
            <v>4.2714632371577181</v>
          </cell>
          <cell r="R80">
            <v>-2.8437558768901649E-2</v>
          </cell>
          <cell r="S80">
            <v>2.8302867502788835E-4</v>
          </cell>
        </row>
        <row r="81">
          <cell r="B81">
            <v>2064</v>
          </cell>
          <cell r="D81">
            <v>83.03116539324219</v>
          </cell>
          <cell r="E81">
            <v>3.2642671960161143</v>
          </cell>
          <cell r="F81">
            <v>-6.0370117936673741E-3</v>
          </cell>
          <cell r="G81">
            <v>1.8167262663947367E-4</v>
          </cell>
          <cell r="H81">
            <v>42.874012588756436</v>
          </cell>
          <cell r="I81">
            <v>5.417077109050684</v>
          </cell>
          <cell r="J81">
            <v>-5.1484480018267421E-2</v>
          </cell>
          <cell r="K81">
            <v>4.0482096097684851E-4</v>
          </cell>
          <cell r="L81" t="str">
            <v/>
          </cell>
          <cell r="M81">
            <v>2.1698076725367885</v>
          </cell>
          <cell r="N81" t="str">
            <v/>
          </cell>
          <cell r="O81" t="str">
            <v/>
          </cell>
          <cell r="P81">
            <v>58.450622482993197</v>
          </cell>
          <cell r="Q81">
            <v>4.2876173857748245</v>
          </cell>
          <cell r="R81">
            <v>-2.8546792938364891E-2</v>
          </cell>
          <cell r="S81">
            <v>2.841254952362746E-4</v>
          </cell>
        </row>
        <row r="82">
          <cell r="B82">
            <v>2065</v>
          </cell>
          <cell r="D82">
            <v>83.364530733441455</v>
          </cell>
          <cell r="E82">
            <v>3.2773730405402453</v>
          </cell>
          <cell r="F82">
            <v>-6.0612500478319569E-3</v>
          </cell>
          <cell r="G82">
            <v>1.8240203175739212E-4</v>
          </cell>
          <cell r="H82">
            <v>43.038470440563323</v>
          </cell>
          <cell r="I82">
            <v>5.4378561500276037</v>
          </cell>
          <cell r="J82">
            <v>-5.1681966245330273E-2</v>
          </cell>
          <cell r="K82">
            <v>4.0637378940574419E-4</v>
          </cell>
          <cell r="L82" t="str">
            <v/>
          </cell>
          <cell r="M82">
            <v>2.1698076725367885</v>
          </cell>
          <cell r="N82" t="str">
            <v/>
          </cell>
          <cell r="O82" t="str">
            <v/>
          </cell>
          <cell r="P82">
            <v>58.681440943563061</v>
          </cell>
          <cell r="Q82">
            <v>4.3038820710882364</v>
          </cell>
          <cell r="R82">
            <v>-2.8656774555713024E-2</v>
          </cell>
          <cell r="S82">
            <v>2.8522982056827648E-4</v>
          </cell>
        </row>
        <row r="83">
          <cell r="B83">
            <v>2066</v>
          </cell>
          <cell r="D83">
            <v>83.700177165900129</v>
          </cell>
          <cell r="E83">
            <v>3.2905685633749022</v>
          </cell>
          <cell r="F83">
            <v>-6.0856541551530894E-3</v>
          </cell>
          <cell r="G83">
            <v>1.8313642791717311E-4</v>
          </cell>
          <cell r="H83">
            <v>43.204053614914329</v>
          </cell>
          <cell r="I83">
            <v>5.4587773740806096</v>
          </cell>
          <cell r="J83">
            <v>-5.1880803795549942E-2</v>
          </cell>
          <cell r="K83">
            <v>4.0793724324910926E-4</v>
          </cell>
          <cell r="L83" t="str">
            <v/>
          </cell>
          <cell r="M83">
            <v>2.1698076725367885</v>
          </cell>
          <cell r="N83" t="str">
            <v/>
          </cell>
          <cell r="O83" t="str">
            <v/>
          </cell>
          <cell r="P83">
            <v>58.913838807088894</v>
          </cell>
          <cell r="Q83">
            <v>4.3202580494585323</v>
          </cell>
          <cell r="R83">
            <v>-2.8767508735447696E-2</v>
          </cell>
          <cell r="S83">
            <v>2.8634170237860088E-4</v>
          </cell>
        </row>
        <row r="84">
          <cell r="B84">
            <v>2067</v>
          </cell>
          <cell r="D84">
            <v>84.038120299265188</v>
          </cell>
          <cell r="E84">
            <v>3.3038543781546648</v>
          </cell>
          <cell r="F84">
            <v>-6.1102252505008583E-3</v>
          </cell>
          <cell r="G84">
            <v>1.8387584927061831E-4</v>
          </cell>
          <cell r="H84">
            <v>43.370769811963733</v>
          </cell>
          <cell r="I84">
            <v>5.4798417541144291</v>
          </cell>
          <cell r="J84">
            <v>-5.208100191551697E-2</v>
          </cell>
          <cell r="K84">
            <v>4.0951139521261463E-4</v>
          </cell>
          <cell r="L84" t="str">
            <v/>
          </cell>
          <cell r="M84">
            <v>2.1698076725367885</v>
          </cell>
          <cell r="N84" t="str">
            <v/>
          </cell>
          <cell r="O84" t="str">
            <v/>
          </cell>
          <cell r="P84">
            <v>59.14782688082461</v>
          </cell>
          <cell r="Q84">
            <v>4.3367460824217829</v>
          </cell>
          <cell r="R84">
            <v>-2.8879000627067171E-2</v>
          </cell>
          <cell r="S84">
            <v>2.8746119237335567E-4</v>
          </cell>
        </row>
        <row r="85">
          <cell r="B85">
            <v>2068</v>
          </cell>
          <cell r="D85">
            <v>84.378375848987574</v>
          </cell>
          <cell r="E85">
            <v>3.3172311027129786</v>
          </cell>
          <cell r="F85">
            <v>-6.1349644765108314E-3</v>
          </cell>
          <cell r="G85">
            <v>1.8462033020321707E-4</v>
          </cell>
          <cell r="H85">
            <v>43.538626784555028</v>
          </cell>
          <cell r="I85">
            <v>5.5010502696910022</v>
          </cell>
          <cell r="J85">
            <v>-5.2282569915092766E-2</v>
          </cell>
          <cell r="K85">
            <v>4.110963184994285E-4</v>
          </cell>
          <cell r="L85" t="str">
            <v/>
          </cell>
          <cell r="M85">
            <v>2.1698076725367885</v>
          </cell>
          <cell r="N85" t="str">
            <v/>
          </cell>
          <cell r="O85" t="str">
            <v/>
          </cell>
          <cell r="P85">
            <v>59.383416045973959</v>
          </cell>
          <cell r="Q85">
            <v>4.3533469367249591</v>
          </cell>
          <cell r="R85">
            <v>-2.8991255415305742E-2</v>
          </cell>
          <cell r="S85">
            <v>2.8858834261245392E-4</v>
          </cell>
        </row>
        <row r="86">
          <cell r="B86">
            <v>2069</v>
          </cell>
          <cell r="D86">
            <v>84.720959638053145</v>
          </cell>
          <cell r="E86">
            <v>3.3306993591108909</v>
          </cell>
          <cell r="F86">
            <v>-6.159872983637198E-3</v>
          </cell>
          <cell r="G86">
            <v>1.853699053357457E-4</v>
          </cell>
          <cell r="H86">
            <v>43.707632338581448</v>
          </cell>
          <cell r="I86">
            <v>5.5224039070750397</v>
          </cell>
          <cell r="J86">
            <v>-5.2485517167842589E-2</v>
          </cell>
          <cell r="K86">
            <v>4.1269208681362035E-4</v>
          </cell>
          <cell r="L86" t="str">
            <v/>
          </cell>
          <cell r="M86">
            <v>2.1698076725367885</v>
          </cell>
          <cell r="N86" t="str">
            <v/>
          </cell>
          <cell r="O86" t="str">
            <v/>
          </cell>
          <cell r="P86">
            <v>59.620617258196674</v>
          </cell>
          <cell r="Q86">
            <v>4.3700613843615876</v>
          </cell>
          <cell r="R86">
            <v>-2.9104278320374877E-2</v>
          </cell>
          <cell r="S86">
            <v>2.8972320551203467E-4</v>
          </cell>
        </row>
        <row r="87">
          <cell r="B87">
            <v>2070</v>
          </cell>
          <cell r="D87">
            <v>85.065887597718344</v>
          </cell>
          <cell r="E87">
            <v>3.3442597736659727</v>
          </cell>
          <cell r="F87">
            <v>-6.1849519302062646E-3</v>
          </cell>
          <cell r="G87">
            <v>1.8612460952587709E-4</v>
          </cell>
          <cell r="H87">
            <v>43.877794333348987</v>
          </cell>
          <cell r="I87">
            <v>5.5439036592798843</v>
          </cell>
          <cell r="J87">
            <v>-5.2689853111471424E-2</v>
          </cell>
          <cell r="K87">
            <v>4.1429877436358851E-4</v>
          </cell>
          <cell r="L87" t="str">
            <v/>
          </cell>
          <cell r="M87">
            <v>2.1698076725367885</v>
          </cell>
          <cell r="N87" t="str">
            <v/>
          </cell>
          <cell r="O87" t="str">
            <v/>
          </cell>
          <cell r="P87">
            <v>59.85944154811785</v>
          </cell>
          <cell r="Q87">
            <v>4.3868902026076544</v>
          </cell>
          <cell r="R87">
            <v>-2.9218074598205961E-2</v>
          </cell>
          <cell r="S87">
            <v>2.9086583384690088E-4</v>
          </cell>
        </row>
        <row r="88">
          <cell r="B88">
            <v>2071</v>
          </cell>
          <cell r="D88">
            <v>85.41317576825125</v>
          </cell>
          <cell r="E88">
            <v>3.3579129769814506</v>
          </cell>
          <cell r="F88">
            <v>-6.2102024824703299E-3</v>
          </cell>
          <cell r="G88">
            <v>1.8688447786980214E-4</v>
          </cell>
          <cell r="H88">
            <v>44.049120681941936</v>
          </cell>
          <cell r="I88">
            <v>5.5655505261136984</v>
          </cell>
          <cell r="J88">
            <v>-5.2895587248262939E-2</v>
          </cell>
          <cell r="K88">
            <v>4.1591645586551169E-4</v>
          </cell>
          <cell r="L88" t="str">
            <v/>
          </cell>
          <cell r="M88">
            <v>2.1698076725367885</v>
          </cell>
          <cell r="N88" t="str">
            <v/>
          </cell>
          <cell r="O88" t="str">
            <v/>
          </cell>
          <cell r="P88">
            <v>60.099900021841052</v>
          </cell>
          <cell r="Q88">
            <v>4.4038341740577511</v>
          </cell>
          <cell r="R88">
            <v>-2.9332649540694745E-2</v>
          </cell>
          <cell r="S88">
            <v>2.9201628075297347E-4</v>
          </cell>
        </row>
        <row r="89">
          <cell r="B89">
            <v>2072</v>
          </cell>
          <cell r="D89">
            <v>85.762840299677379</v>
          </cell>
          <cell r="E89">
            <v>3.3716596039755302</v>
          </cell>
          <cell r="F89">
            <v>-6.2356258146619133E-3</v>
          </cell>
          <cell r="G89">
            <v>1.8764954570386165E-4</v>
          </cell>
          <cell r="H89">
            <v>44.221619351590746</v>
          </cell>
          <cell r="I89">
            <v>5.5873455142259454</v>
          </cell>
          <cell r="J89">
            <v>-5.3102729145521256E-2</v>
          </cell>
          <cell r="K89">
            <v>4.1754520654682236E-4</v>
          </cell>
          <cell r="L89" t="str">
            <v/>
          </cell>
          <cell r="M89">
            <v>2.1698076725367885</v>
          </cell>
          <cell r="N89" t="str">
            <v/>
          </cell>
          <cell r="O89" t="str">
            <v/>
          </cell>
          <cell r="P89">
            <v>60.342003861464619</v>
          </cell>
          <cell r="Q89">
            <v>4.4208940866614661</v>
          </cell>
          <cell r="R89">
            <v>-2.9448008475947383E-2</v>
          </cell>
          <cell r="S89">
            <v>2.931745997297621E-4</v>
          </cell>
        </row>
        <row r="90">
          <cell r="B90">
            <v>2073</v>
          </cell>
          <cell r="D90">
            <v>86.114897452530641</v>
          </cell>
          <cell r="E90">
            <v>3.3855002939109178</v>
          </cell>
          <cell r="F90">
            <v>-6.2612231090483543E-3</v>
          </cell>
          <cell r="G90">
            <v>1.8841984860618936E-4</v>
          </cell>
          <cell r="H90">
            <v>44.395298364042631</v>
          </cell>
          <cell r="I90">
            <v>5.6092896371542089</v>
          </cell>
          <cell r="J90">
            <v>-5.3311288436015944E-2</v>
          </cell>
          <cell r="K90">
            <v>4.1918510214970604E-4</v>
          </cell>
          <cell r="L90" t="str">
            <v/>
          </cell>
          <cell r="M90">
            <v>2.1698076725367885</v>
          </cell>
          <cell r="N90" t="str">
            <v/>
          </cell>
          <cell r="O90" t="str">
            <v/>
          </cell>
          <cell r="P90">
            <v>60.585764325601723</v>
          </cell>
          <cell r="Q90">
            <v>4.4380707337600249</v>
          </cell>
          <cell r="R90">
            <v>-2.9564156768528239E-2</v>
          </cell>
          <cell r="S90">
            <v>2.943408446428533E-4</v>
          </cell>
        </row>
        <row r="91">
          <cell r="B91">
            <v>2074</v>
          </cell>
          <cell r="D91">
            <v>86.469363598609689</v>
          </cell>
          <cell r="E91">
            <v>3.3994356904245531</v>
          </cell>
          <cell r="F91">
            <v>-6.2869955559868044E-3</v>
          </cell>
          <cell r="G91">
            <v>1.8919542239836685E-4</v>
          </cell>
          <cell r="H91">
            <v>44.570165795934564</v>
          </cell>
          <cell r="I91">
            <v>5.6313839153713294</v>
          </cell>
          <cell r="J91">
            <v>-5.3521274818429963E-2</v>
          </cell>
          <cell r="K91">
            <v>4.208362189346232E-4</v>
          </cell>
          <cell r="L91" t="str">
            <v/>
          </cell>
          <cell r="M91">
            <v>2.1698076725367885</v>
          </cell>
          <cell r="N91" t="str">
            <v/>
          </cell>
          <cell r="O91" t="str">
            <v/>
          </cell>
          <cell r="P91">
            <v>60.831192749903991</v>
          </cell>
          <cell r="Q91">
            <v>4.455364914123189</v>
          </cell>
          <cell r="R91">
            <v>-2.9681099819709362E-2</v>
          </cell>
          <cell r="S91">
            <v>2.9551506972641533E-4</v>
          </cell>
        </row>
        <row r="92">
          <cell r="B92">
            <v>2075</v>
          </cell>
          <cell r="D92">
            <v>86.826255221739132</v>
          </cell>
          <cell r="E92">
            <v>3.4134664415575391</v>
          </cell>
          <cell r="F92">
            <v>-6.3129443539795748E-3</v>
          </cell>
          <cell r="G92">
            <v>1.8997630314708904E-4</v>
          </cell>
          <cell r="H92">
            <v>44.746229779168864</v>
          </cell>
          <cell r="I92">
            <v>5.6536293763328471</v>
          </cell>
          <cell r="J92">
            <v>-5.3732698057810634E-2</v>
          </cell>
          <cell r="K92">
            <v>4.2249863368385549E-4</v>
          </cell>
          <cell r="L92" t="str">
            <v/>
          </cell>
          <cell r="M92">
            <v>2.1698076725367885</v>
          </cell>
          <cell r="N92" t="str">
            <v/>
          </cell>
          <cell r="O92" t="str">
            <v/>
          </cell>
          <cell r="P92">
            <v>61.07830054758859</v>
          </cell>
          <cell r="Q92">
            <v>4.472777431986394</v>
          </cell>
          <cell r="R92">
            <v>-2.9798843067721629E-2</v>
          </cell>
          <cell r="S92">
            <v>2.9669732958572022E-4</v>
          </cell>
        </row>
        <row r="93">
          <cell r="B93">
            <v>2076</v>
          </cell>
          <cell r="D93">
            <v>87.185588918536112</v>
          </cell>
          <cell r="E93">
            <v>3.4275931997852762</v>
          </cell>
          <cell r="F93">
            <v>-6.33907070972987E-3</v>
          </cell>
          <cell r="G93">
            <v>1.9076252716584155E-4</v>
          </cell>
          <cell r="H93">
            <v>44.923498501291363</v>
          </cell>
          <cell r="I93">
            <v>5.6760270545247939</v>
          </cell>
          <cell r="J93">
            <v>-5.3945567986023818E-2</v>
          </cell>
          <cell r="K93">
            <v>4.2417242370507662E-4</v>
          </cell>
          <cell r="L93" t="str">
            <v/>
          </cell>
          <cell r="M93">
            <v>2.1698076725367885</v>
          </cell>
          <cell r="N93" t="str">
            <v/>
          </cell>
          <cell r="O93" t="str">
            <v/>
          </cell>
          <cell r="P93">
            <v>61.327099209968964</v>
          </cell>
          <cell r="Q93">
            <v>4.4903090970881534</v>
          </cell>
          <cell r="R93">
            <v>-2.9917391988007684E-2</v>
          </cell>
          <cell r="S93">
            <v>2.9788767919968303E-4</v>
          </cell>
        </row>
        <row r="94">
          <cell r="B94">
            <v>2077</v>
          </cell>
          <cell r="D94">
            <v>87.547381399182143</v>
          </cell>
          <cell r="E94">
            <v>3.4418166220478077</v>
          </cell>
          <cell r="F94">
            <v>-6.3653758381979099E-3</v>
          </cell>
          <cell r="G94">
            <v>1.9155413101658945E-4</v>
          </cell>
          <cell r="H94">
            <v>45.101980205872181</v>
          </cell>
          <cell r="I94">
            <v>5.6985779915117991</v>
          </cell>
          <cell r="J94">
            <v>-5.4159894502211092E-2</v>
          </cell>
          <cell r="K94">
            <v>4.2585766683494737E-4</v>
          </cell>
          <cell r="L94" t="str">
            <v/>
          </cell>
          <cell r="M94">
            <v>2.1698076725367885</v>
          </cell>
          <cell r="N94" t="str">
            <v/>
          </cell>
          <cell r="O94" t="str">
            <v/>
          </cell>
          <cell r="P94">
            <v>61.577600306989275</v>
          </cell>
          <cell r="Q94">
            <v>4.5079607247077158</v>
          </cell>
          <cell r="R94">
            <v>-3.0036752093476539E-2</v>
          </cell>
          <cell r="S94">
            <v>2.990861739234188E-4</v>
          </cell>
        </row>
        <row r="95">
          <cell r="B95">
            <v>2078</v>
          </cell>
          <cell r="D95">
            <v>87.911649488200183</v>
          </cell>
          <cell r="E95">
            <v>3.4561373697803672</v>
          </cell>
          <cell r="F95">
            <v>-6.3918609626574252E-3</v>
          </cell>
          <cell r="G95">
            <v>1.9235115151147744E-4</v>
          </cell>
          <cell r="H95">
            <v>45.281683192889048</v>
          </cell>
          <cell r="I95">
            <v>5.7212832359855197</v>
          </cell>
          <cell r="J95">
            <v>-5.4375687573250099E-2</v>
          </cell>
          <cell r="K95">
            <v>4.2755444144273514E-4</v>
          </cell>
          <cell r="L95" t="str">
            <v/>
          </cell>
          <cell r="M95">
            <v>2.1698076725367885</v>
          </cell>
          <cell r="N95" t="str">
            <v/>
          </cell>
          <cell r="O95" t="str">
            <v/>
          </cell>
          <cell r="P95">
            <v>61.829815487762446</v>
          </cell>
          <cell r="Q95">
            <v>4.5257331357029758</v>
          </cell>
          <cell r="R95">
            <v>-3.0156928934759946E-2</v>
          </cell>
          <cell r="S95">
            <v>3.002928694908166E-4</v>
          </cell>
        </row>
        <row r="96">
          <cell r="B96">
            <v>2079</v>
          </cell>
          <cell r="D96">
            <v>88.278410125236888</v>
          </cell>
          <cell r="E96">
            <v>3.4705561089441357</v>
          </cell>
          <cell r="F96">
            <v>-6.4185273147525351E-3</v>
          </cell>
          <cell r="G96">
            <v>1.9315362571454154E-4</v>
          </cell>
          <cell r="H96">
            <v>45.46261581911326</v>
          </cell>
          <cell r="I96">
            <v>5.7441438438134105</v>
          </cell>
          <cell r="J96">
            <v>-5.4592957234218011E-2</v>
          </cell>
          <cell r="K96">
            <v>4.2926282643395851E-4</v>
          </cell>
          <cell r="L96" t="str">
            <v/>
          </cell>
          <cell r="M96">
            <v>2.1698076725367885</v>
          </cell>
          <cell r="N96" t="str">
            <v/>
          </cell>
          <cell r="O96" t="str">
            <v/>
          </cell>
          <cell r="P96">
            <v>62.083756481111763</v>
          </cell>
          <cell r="Q96">
            <v>4.5436271565486424</v>
          </cell>
          <cell r="R96">
            <v>-3.0277928100470509E-2</v>
          </cell>
          <cell r="S96">
            <v>3.0150782201713113E-4</v>
          </cell>
        </row>
        <row r="97">
          <cell r="B97">
            <v>2080</v>
          </cell>
          <cell r="D97">
            <v>88.64768036585059</v>
          </cell>
          <cell r="E97">
            <v>3.4850735100572172</v>
          </cell>
          <cell r="F97">
            <v>-6.4453761345550416E-3</v>
          </cell>
          <cell r="G97">
            <v>1.9396159094343306E-4</v>
          </cell>
          <cell r="H97">
            <v>45.644786498498334</v>
          </cell>
          <cell r="I97">
            <v>5.7671608780878252</v>
          </cell>
          <cell r="J97">
            <v>-5.4811713588858224E-2</v>
          </cell>
          <cell r="K97">
            <v>4.3098290125405614E-4</v>
          </cell>
          <cell r="L97" t="str">
            <v/>
          </cell>
          <cell r="M97">
            <v>2.1698076725367885</v>
          </cell>
          <cell r="N97" t="str">
            <v/>
          </cell>
          <cell r="O97" t="str">
            <v/>
          </cell>
          <cell r="P97">
            <v>62.339435096116446</v>
          </cell>
          <cell r="Q97">
            <v>4.5616436193746805</v>
          </cell>
          <cell r="R97">
            <v>-3.0399755217461587E-2</v>
          </cell>
          <cell r="S97">
            <v>3.0273108800159233E-4</v>
          </cell>
        </row>
        <row r="98">
          <cell r="B98">
            <v>2081</v>
          </cell>
          <cell r="D98">
            <v>89.019477382304245</v>
          </cell>
          <cell r="E98">
            <v>3.4996902482258121</v>
          </cell>
          <cell r="F98">
            <v>-6.4724086706220811E-3</v>
          </cell>
          <cell r="G98">
            <v>1.9477508477115372E-4</v>
          </cell>
          <cell r="H98">
            <v>45.828203702571287</v>
          </cell>
          <cell r="I98">
            <v>5.7903354091754577</v>
          </cell>
          <cell r="J98">
            <v>-5.5031966810050244E-2</v>
          </cell>
          <cell r="K98">
            <v>4.3271474589208226E-4</v>
          </cell>
          <cell r="L98" t="str">
            <v/>
          </cell>
          <cell r="M98">
            <v>2.1698076725367885</v>
          </cell>
          <cell r="N98" t="str">
            <v/>
          </cell>
          <cell r="O98" t="str">
            <v/>
          </cell>
          <cell r="P98">
            <v>62.596863222660744</v>
          </cell>
          <cell r="Q98">
            <v>4.579783362005001</v>
          </cell>
          <cell r="R98">
            <v>-3.0522415951088976E-2</v>
          </cell>
          <cell r="S98">
            <v>3.039627243300333E-4</v>
          </cell>
        </row>
        <row r="99">
          <cell r="B99">
            <v>2082</v>
          </cell>
          <cell r="D99">
            <v>89.393818464364145</v>
          </cell>
          <cell r="E99">
            <v>3.51440700317562</v>
          </cell>
          <cell r="F99">
            <v>-6.4996261800541926E-3</v>
          </cell>
          <cell r="G99">
            <v>1.9559414502780308E-4</v>
          </cell>
          <cell r="H99">
            <v>46.012875960826555</v>
          </cell>
          <cell r="I99">
            <v>5.8136685147671106</v>
          </cell>
          <cell r="J99">
            <v>-5.5253727140282663E-2</v>
          </cell>
          <cell r="K99">
            <v>4.3445844088442519E-4</v>
          </cell>
          <cell r="L99" t="str">
            <v/>
          </cell>
          <cell r="M99">
            <v>2.1698076725367885</v>
          </cell>
          <cell r="N99" t="str">
            <v/>
          </cell>
          <cell r="O99" t="str">
            <v/>
          </cell>
          <cell r="P99">
            <v>62.856052831986879</v>
          </cell>
          <cell r="Q99">
            <v>4.59804722799643</v>
          </cell>
          <cell r="R99">
            <v>-3.0645916005474318E-2</v>
          </cell>
          <cell r="S99">
            <v>3.0520278827753501E-4</v>
          </cell>
        </row>
        <row r="100">
          <cell r="B100">
            <v>2083</v>
          </cell>
          <cell r="D100">
            <v>89.770721020103835</v>
          </cell>
          <cell r="E100">
            <v>3.5292244592834421</v>
          </cell>
          <cell r="F100">
            <v>-6.5270299285537783E-3</v>
          </cell>
          <cell r="G100">
            <v>1.9641880980233764E-4</v>
          </cell>
          <cell r="H100">
            <v>46.198811861122678</v>
          </cell>
          <cell r="I100">
            <v>5.837161279927817</v>
          </cell>
          <cell r="J100">
            <v>-5.5477004892129582E-2</v>
          </cell>
          <cell r="K100">
            <v>4.3621406731855349E-4</v>
          </cell>
          <cell r="L100" t="str">
            <v/>
          </cell>
          <cell r="M100">
            <v>2.1698076725367885</v>
          </cell>
          <cell r="N100" t="str">
            <v/>
          </cell>
          <cell r="O100" t="str">
            <v/>
          </cell>
          <cell r="P100">
            <v>63.117015977251711</v>
          </cell>
          <cell r="Q100">
            <v>4.6164360666779256</v>
          </cell>
          <cell r="R100">
            <v>-3.0770261123770414E-2</v>
          </cell>
          <cell r="S100">
            <v>3.0645133751108994E-4</v>
          </cell>
        </row>
        <row r="101">
          <cell r="B101">
            <v>2084</v>
          </cell>
          <cell r="D101">
            <v>90.150202576713696</v>
          </cell>
          <cell r="E101">
            <v>3.5441433056090115</v>
          </cell>
          <cell r="F101">
            <v>-6.5546211904839577E-3</v>
          </cell>
          <cell r="G101">
            <v>1.9724911744434216E-4</v>
          </cell>
          <cell r="H101">
            <v>46.386020050081612</v>
          </cell>
          <cell r="I101">
            <v>5.8608147971472961</v>
          </cell>
          <cell r="J101">
            <v>-5.5701810448730092E-2</v>
          </cell>
          <cell r="K101">
            <v>4.379817068367862E-4</v>
          </cell>
          <cell r="L101" t="str">
            <v/>
          </cell>
          <cell r="M101">
            <v>2.1698076725367885</v>
          </cell>
          <cell r="N101" t="str">
            <v/>
          </cell>
          <cell r="O101" t="str">
            <v/>
          </cell>
          <cell r="P101">
            <v>63.379764794087265</v>
          </cell>
          <cell r="Q101">
            <v>4.6349507331900881</v>
          </cell>
          <cell r="R101">
            <v>-3.0895457088428262E-2</v>
          </cell>
          <cell r="S101">
            <v>3.0770843009228401E-4</v>
          </cell>
        </row>
        <row r="102">
          <cell r="B102">
            <v>2085</v>
          </cell>
          <cell r="D102">
            <v>90.53228078131599</v>
          </cell>
          <cell r="E102">
            <v>3.5591642359270326</v>
          </cell>
          <cell r="F102">
            <v>-6.5824012489278313E-3</v>
          </cell>
          <cell r="G102">
            <v>1.9808510656581295E-4</v>
          </cell>
          <cell r="H102">
            <v>46.574509233490929</v>
          </cell>
          <cell r="I102">
            <v>5.8846301663907621</v>
          </cell>
          <cell r="J102">
            <v>-5.5928154264271196E-2</v>
          </cell>
          <cell r="K102">
            <v>4.3976144164009016E-4</v>
          </cell>
          <cell r="L102" t="str">
            <v/>
          </cell>
          <cell r="M102">
            <v>2.1698076725367885</v>
          </cell>
          <cell r="N102" t="str">
            <v/>
          </cell>
          <cell r="O102" t="str">
            <v/>
          </cell>
          <cell r="P102">
            <v>63.644311501165106</v>
          </cell>
          <cell r="Q102">
            <v>4.6535920885249142</v>
          </cell>
          <cell r="R102">
            <v>-3.1021509721465987E-2</v>
          </cell>
          <cell r="S102">
            <v>3.0897412447999668E-4</v>
          </cell>
        </row>
        <row r="103">
          <cell r="B103">
            <v>2086</v>
          </cell>
          <cell r="D103">
            <v>90.91697340178554</v>
          </cell>
          <cell r="E103">
            <v>3.5742879487594488</v>
          </cell>
          <cell r="F103">
            <v>-6.6103713957481542E-3</v>
          </cell>
          <cell r="G103">
            <v>1.989268160429536E-4</v>
          </cell>
          <cell r="H103">
            <v>46.764288176708497</v>
          </cell>
          <cell r="I103">
            <v>5.9086084951500659</v>
          </cell>
          <cell r="J103">
            <v>-5.6156046864473841E-2</v>
          </cell>
          <cell r="K103">
            <v>4.4155335449190129E-4</v>
          </cell>
          <cell r="L103" t="str">
            <v/>
          </cell>
          <cell r="M103">
            <v>2.1698076725367885</v>
          </cell>
          <cell r="N103" t="str">
            <v/>
          </cell>
          <cell r="O103" t="str">
            <v/>
          </cell>
          <cell r="P103">
            <v>63.910668400764472</v>
          </cell>
          <cell r="Q103">
            <v>4.6723609995658428</v>
          </cell>
          <cell r="R103">
            <v>-3.1148424884739536E-2</v>
          </cell>
          <cell r="S103">
            <v>3.1024847953311873E-4</v>
          </cell>
        </row>
        <row r="104">
          <cell r="B104">
            <v>2087</v>
          </cell>
          <cell r="D104">
            <v>91.304298327576006</v>
          </cell>
          <cell r="E104">
            <v>3.5895151474079228</v>
          </cell>
          <cell r="F104">
            <v>-6.638532931647405E-3</v>
          </cell>
          <cell r="G104">
            <v>1.9977428501798285E-4</v>
          </cell>
          <cell r="H104">
            <v>46.955365705070271</v>
          </cell>
          <cell r="I104">
            <v>5.9327508984952102</v>
          </cell>
          <cell r="J104">
            <v>-5.638549884708257E-2</v>
          </cell>
          <cell r="K104">
            <v>4.4335752872197513E-4</v>
          </cell>
          <cell r="L104" t="str">
            <v/>
          </cell>
          <cell r="M104">
            <v>2.1698076725367885</v>
          </cell>
          <cell r="N104" t="str">
            <v/>
          </cell>
          <cell r="O104" t="str">
            <v/>
          </cell>
          <cell r="P104">
            <v>64.178847879344488</v>
          </cell>
          <cell r="Q104">
            <v>4.6912583391280673</v>
          </cell>
          <cell r="R104">
            <v>-3.1276208480215353E-2</v>
          </cell>
          <cell r="S104">
            <v>3.1153155451329063E-4</v>
          </cell>
        </row>
        <row r="105">
          <cell r="B105">
            <v>2088</v>
          </cell>
          <cell r="D105">
            <v>91.694273570551744</v>
          </cell>
          <cell r="E105">
            <v>3.6048465399865424</v>
          </cell>
          <cell r="F105">
            <v>-6.6668871662282723E-3</v>
          </cell>
          <cell r="G105">
            <v>2.0062755290095458E-4</v>
          </cell>
          <cell r="H105">
            <v>47.147750704300613</v>
          </cell>
          <cell r="I105">
            <v>5.9570584991261972</v>
          </cell>
          <cell r="J105">
            <v>-5.6616520882358232E-2</v>
          </cell>
          <cell r="K105">
            <v>4.4517404823026066E-4</v>
          </cell>
          <cell r="L105" t="str">
            <v/>
          </cell>
          <cell r="M105">
            <v>2.1698076725367885</v>
          </cell>
          <cell r="N105" t="str">
            <v/>
          </cell>
          <cell r="O105" t="str">
            <v/>
          </cell>
          <cell r="P105">
            <v>64.448862408120078</v>
          </cell>
          <cell r="Q105">
            <v>4.7102849859991256</v>
          </cell>
          <cell r="R105">
            <v>-3.1404866450244769E-2</v>
          </cell>
          <cell r="S105">
            <v>3.1282340908765714E-4</v>
          </cell>
        </row>
        <row r="106">
          <cell r="B106">
            <v>2089</v>
          </cell>
          <cell r="D106">
            <v>92.086917265825448</v>
          </cell>
          <cell r="E106">
            <v>3.6202828394547519</v>
          </cell>
          <cell r="F106">
            <v>-6.6954354180545619E-3</v>
          </cell>
          <cell r="G106">
            <v>2.0148665937159084E-4</v>
          </cell>
          <cell r="H106">
            <v>47.341452120925474</v>
          </cell>
          <cell r="I106">
            <v>5.9815324274252344</v>
          </cell>
          <cell r="J106">
            <v>-5.6849123713574173E-2</v>
          </cell>
          <cell r="K106">
            <v>4.470029974908022E-4</v>
          </cell>
          <cell r="L106" t="str">
            <v/>
          </cell>
          <cell r="M106">
            <v>2.1698076725367885</v>
          </cell>
          <cell r="N106" t="str">
            <v/>
          </cell>
          <cell r="O106" t="str">
            <v/>
          </cell>
          <cell r="P106">
            <v>64.720724543641921</v>
          </cell>
          <cell r="Q106">
            <v>4.7294418249797605</v>
          </cell>
          <cell r="R106">
            <v>-3.1534404777840364E-2</v>
          </cell>
          <cell r="S106">
            <v>3.1412410333164298E-4</v>
          </cell>
        </row>
      </sheetData>
      <sheetData sheetId="38">
        <row r="27">
          <cell r="B27">
            <v>2010</v>
          </cell>
          <cell r="D27">
            <v>132.40621852352291</v>
          </cell>
          <cell r="E27">
            <v>5.2053861177053173</v>
          </cell>
          <cell r="F27">
            <v>-9.6269623459538291E-3</v>
          </cell>
          <cell r="G27">
            <v>2.8970550261030441E-4</v>
          </cell>
          <cell r="H27">
            <v>59.232466997934559</v>
          </cell>
          <cell r="I27">
            <v>7.4839470745329217</v>
          </cell>
          <cell r="J27">
            <v>-7.1128233152303086E-2</v>
          </cell>
          <cell r="K27">
            <v>5.592792174862034E-4</v>
          </cell>
          <cell r="L27" t="str">
            <v/>
          </cell>
          <cell r="M27" t="str">
            <v/>
          </cell>
          <cell r="N27" t="str">
            <v/>
          </cell>
          <cell r="O27" t="str">
            <v/>
          </cell>
          <cell r="P27">
            <v>102.60393937990494</v>
          </cell>
          <cell r="Q27">
            <v>6.1334007167296569</v>
          </cell>
          <cell r="R27">
            <v>-3.4675261798211919E-2</v>
          </cell>
          <cell r="S27">
            <v>3.9949775643105079E-4</v>
          </cell>
        </row>
        <row r="28">
          <cell r="B28">
            <v>2011</v>
          </cell>
          <cell r="D28">
            <v>145.03100593254712</v>
          </cell>
          <cell r="E28">
            <v>5.7017139628075491</v>
          </cell>
          <cell r="F28">
            <v>-1.0544882624681189E-2</v>
          </cell>
          <cell r="G28">
            <v>3.1732860386993151E-4</v>
          </cell>
          <cell r="H28">
            <v>65.946975292663723</v>
          </cell>
          <cell r="I28">
            <v>8.3323166808675282</v>
          </cell>
          <cell r="J28">
            <v>-7.919122859544786E-2</v>
          </cell>
          <cell r="K28">
            <v>6.2267831489357106E-4</v>
          </cell>
          <cell r="L28" t="str">
            <v/>
          </cell>
          <cell r="M28">
            <v>1.6133369765042034</v>
          </cell>
          <cell r="N28" t="str">
            <v/>
          </cell>
          <cell r="O28" t="str">
            <v/>
          </cell>
          <cell r="P28">
            <v>111.0118324571001</v>
          </cell>
          <cell r="Q28">
            <v>6.8303913589195213</v>
          </cell>
          <cell r="R28">
            <v>-4.0029499461749087E-2</v>
          </cell>
          <cell r="S28">
            <v>4.4839234059992168E-4</v>
          </cell>
        </row>
        <row r="29">
          <cell r="B29">
            <v>2012</v>
          </cell>
          <cell r="D29">
            <v>142.19789519508623</v>
          </cell>
          <cell r="E29">
            <v>5.5903337310695607</v>
          </cell>
          <cell r="F29">
            <v>-1.0338893429493895E-2</v>
          </cell>
          <cell r="G29">
            <v>3.1112974267368844E-4</v>
          </cell>
          <cell r="H29">
            <v>64.822408026820256</v>
          </cell>
          <cell r="I29">
            <v>8.1902290332330274</v>
          </cell>
          <cell r="J29">
            <v>-7.7840812400843798E-2</v>
          </cell>
          <cell r="K29">
            <v>6.1206003184158437E-4</v>
          </cell>
          <cell r="L29" t="str">
            <v/>
          </cell>
          <cell r="M29">
            <v>1.6798348137787631</v>
          </cell>
          <cell r="N29" t="str">
            <v/>
          </cell>
          <cell r="O29" t="str">
            <v/>
          </cell>
          <cell r="P29">
            <v>107.14282896200694</v>
          </cell>
          <cell r="Q29">
            <v>6.7625352645658809</v>
          </cell>
          <cell r="R29">
            <v>-4.0832800872260031E-2</v>
          </cell>
          <cell r="S29">
            <v>4.4690122306054989E-4</v>
          </cell>
        </row>
        <row r="30">
          <cell r="B30">
            <v>2013</v>
          </cell>
          <cell r="D30">
            <v>136.03861530369838</v>
          </cell>
          <cell r="E30">
            <v>5.3481892880123354</v>
          </cell>
          <cell r="F30">
            <v>-9.8910658557304545E-3</v>
          </cell>
          <cell r="G30">
            <v>2.9765320587239725E-4</v>
          </cell>
          <cell r="H30">
            <v>61.651161531049439</v>
          </cell>
          <cell r="I30">
            <v>7.7895460609118787</v>
          </cell>
          <cell r="J30">
            <v>-7.4032678592362081E-2</v>
          </cell>
          <cell r="K30">
            <v>5.8211678705536926E-4</v>
          </cell>
          <cell r="L30" t="str">
            <v/>
          </cell>
          <cell r="M30">
            <v>1.7732455474372277</v>
          </cell>
          <cell r="N30" t="str">
            <v/>
          </cell>
          <cell r="O30" t="str">
            <v/>
          </cell>
          <cell r="P30">
            <v>100.63556869095935</v>
          </cell>
          <cell r="Q30">
            <v>6.5022085690785101</v>
          </cell>
          <cell r="R30">
            <v>-4.0293009921895093E-2</v>
          </cell>
          <cell r="S30">
            <v>4.3223464798934624E-4</v>
          </cell>
        </row>
        <row r="31">
          <cell r="B31">
            <v>2014</v>
          </cell>
          <cell r="D31">
            <v>124.92064057234636</v>
          </cell>
          <cell r="E31">
            <v>4.9110999128384893</v>
          </cell>
          <cell r="F31">
            <v>-9.0827025832533621E-3</v>
          </cell>
          <cell r="G31">
            <v>2.7332701867762604E-4</v>
          </cell>
          <cell r="H31">
            <v>56.370126069669112</v>
          </cell>
          <cell r="I31">
            <v>7.1222939288492366</v>
          </cell>
          <cell r="J31">
            <v>-6.769104298910858E-2</v>
          </cell>
          <cell r="K31">
            <v>5.3225269173648481E-4</v>
          </cell>
          <cell r="L31" t="str">
            <v/>
          </cell>
          <cell r="M31">
            <v>1.8439545448197778</v>
          </cell>
          <cell r="N31" t="str">
            <v/>
          </cell>
          <cell r="O31" t="str">
            <v/>
          </cell>
          <cell r="P31">
            <v>90.727547321261781</v>
          </cell>
          <cell r="Q31">
            <v>6.0047606442079404</v>
          </cell>
          <cell r="R31">
            <v>-3.8164988953628437E-2</v>
          </cell>
          <cell r="S31">
            <v>4.0150445179070393E-4</v>
          </cell>
        </row>
        <row r="32">
          <cell r="B32">
            <v>2015</v>
          </cell>
          <cell r="D32">
            <v>105.1814723964909</v>
          </cell>
          <cell r="E32">
            <v>4.1350790193832898</v>
          </cell>
          <cell r="F32">
            <v>-7.6475114654309707E-3</v>
          </cell>
          <cell r="G32">
            <v>2.3013761487723289E-4</v>
          </cell>
          <cell r="H32">
            <v>46.810258364063095</v>
          </cell>
          <cell r="I32">
            <v>5.9144167700135819</v>
          </cell>
          <cell r="J32">
            <v>-5.6211249329775961E-2</v>
          </cell>
          <cell r="K32">
            <v>4.4198740986245124E-4</v>
          </cell>
          <cell r="L32" t="str">
            <v/>
          </cell>
          <cell r="M32">
            <v>1.7383509976869498</v>
          </cell>
          <cell r="N32" t="str">
            <v/>
          </cell>
          <cell r="O32" t="str">
            <v/>
          </cell>
          <cell r="P32">
            <v>74.732234514291378</v>
          </cell>
          <cell r="Q32">
            <v>5.0541029291125579</v>
          </cell>
          <cell r="R32">
            <v>-3.2825056696970972E-2</v>
          </cell>
          <cell r="S32">
            <v>3.3964787133466338E-4</v>
          </cell>
        </row>
        <row r="33">
          <cell r="B33">
            <v>2016</v>
          </cell>
          <cell r="D33">
            <v>104.11681832110156</v>
          </cell>
          <cell r="E33">
            <v>4.0932234660264406</v>
          </cell>
          <cell r="F33">
            <v>-7.5701028300244801E-3</v>
          </cell>
          <cell r="G33">
            <v>2.2780814616000662E-4</v>
          </cell>
          <cell r="H33">
            <v>47.021716778047264</v>
          </cell>
          <cell r="I33">
            <v>5.9411342724059342</v>
          </cell>
          <cell r="J33">
            <v>-5.6465175329049419E-2</v>
          </cell>
          <cell r="K33">
            <v>4.4398402256993921E-4</v>
          </cell>
          <cell r="L33" t="str">
            <v/>
          </cell>
          <cell r="M33">
            <v>1.7930044876197559</v>
          </cell>
          <cell r="N33" t="str">
            <v/>
          </cell>
          <cell r="O33" t="str">
            <v/>
          </cell>
          <cell r="P33">
            <v>73.769409866714952</v>
          </cell>
          <cell r="Q33">
            <v>5.0570891953439858</v>
          </cell>
          <cell r="R33">
            <v>-3.3246059146254912E-2</v>
          </cell>
          <cell r="S33">
            <v>3.4069849717562555E-4</v>
          </cell>
        </row>
        <row r="34">
          <cell r="B34">
            <v>2017</v>
          </cell>
          <cell r="D34">
            <v>101.78513272716661</v>
          </cell>
          <cell r="E34">
            <v>4.0015561413579528</v>
          </cell>
          <cell r="F34">
            <v>-7.4005711443852077E-3</v>
          </cell>
          <cell r="G34">
            <v>2.227064058153858E-4</v>
          </cell>
          <cell r="H34">
            <v>46.550657897877336</v>
          </cell>
          <cell r="I34">
            <v>5.8816165803890978</v>
          </cell>
          <cell r="J34">
            <v>-5.5899512820709894E-2</v>
          </cell>
          <cell r="K34">
            <v>4.3953623480684381E-4</v>
          </cell>
          <cell r="L34" t="str">
            <v/>
          </cell>
          <cell r="M34">
            <v>1.9128733031304566</v>
          </cell>
          <cell r="N34" t="str">
            <v/>
          </cell>
          <cell r="O34" t="str">
            <v/>
          </cell>
          <cell r="P34">
            <v>71.878037381516094</v>
          </cell>
          <cell r="Q34">
            <v>4.9926808359560084</v>
          </cell>
          <cell r="R34">
            <v>-3.319280927889539E-2</v>
          </cell>
          <cell r="S34">
            <v>3.3710202470804939E-4</v>
          </cell>
        </row>
        <row r="35">
          <cell r="B35">
            <v>2018</v>
          </cell>
          <cell r="D35">
            <v>99.59991194028062</v>
          </cell>
          <cell r="E35">
            <v>3.9156468987633035</v>
          </cell>
          <cell r="F35">
            <v>-7.2416885898682545E-3</v>
          </cell>
          <cell r="G35">
            <v>2.179251312390197E-4</v>
          </cell>
          <cell r="H35">
            <v>46.10240405891237</v>
          </cell>
          <cell r="I35">
            <v>5.8249802764025178</v>
          </cell>
          <cell r="J35">
            <v>-5.5361235332277291E-2</v>
          </cell>
          <cell r="K35">
            <v>4.3530377465453816E-4</v>
          </cell>
          <cell r="L35" t="str">
            <v/>
          </cell>
          <cell r="M35">
            <v>2.0004956465313519</v>
          </cell>
          <cell r="N35" t="str">
            <v/>
          </cell>
          <cell r="O35" t="str">
            <v/>
          </cell>
          <cell r="P35">
            <v>70.09869966168759</v>
          </cell>
          <cell r="Q35">
            <v>4.9333560089082553</v>
          </cell>
          <cell r="R35">
            <v>-3.3154225592993629E-2</v>
          </cell>
          <cell r="S35">
            <v>3.3379261247280659E-4</v>
          </cell>
        </row>
        <row r="36">
          <cell r="B36">
            <v>2019</v>
          </cell>
          <cell r="D36">
            <v>97.698269894531478</v>
          </cell>
          <cell r="E36">
            <v>3.8408862023536505</v>
          </cell>
          <cell r="F36">
            <v>-7.1034244163720754E-3</v>
          </cell>
          <cell r="G36">
            <v>2.1376432843993697E-4</v>
          </cell>
          <cell r="H36">
            <v>45.766260200319927</v>
          </cell>
          <cell r="I36">
            <v>5.78250892623534</v>
          </cell>
          <cell r="J36">
            <v>-5.4957583079408755E-2</v>
          </cell>
          <cell r="K36">
            <v>4.3212986879302934E-4</v>
          </cell>
          <cell r="L36" t="str">
            <v/>
          </cell>
          <cell r="M36">
            <v>2.0592426989166897</v>
          </cell>
          <cell r="N36" t="str">
            <v/>
          </cell>
          <cell r="O36" t="str">
            <v/>
          </cell>
          <cell r="P36">
            <v>68.538015242331909</v>
          </cell>
          <cell r="Q36">
            <v>4.887466808254648</v>
          </cell>
          <cell r="R36">
            <v>-3.3193642158441936E-2</v>
          </cell>
          <cell r="S36">
            <v>3.313609480569436E-4</v>
          </cell>
        </row>
        <row r="37">
          <cell r="B37">
            <v>2020</v>
          </cell>
          <cell r="D37">
            <v>97.43665801719645</v>
          </cell>
          <cell r="E37">
            <v>3.8306012561502767</v>
          </cell>
          <cell r="F37">
            <v>-7.0844031972749433E-3</v>
          </cell>
          <cell r="G37">
            <v>2.1319192027620176E-4</v>
          </cell>
          <cell r="H37">
            <v>46.283941365101164</v>
          </cell>
          <cell r="I37">
            <v>5.8479172847769565</v>
          </cell>
          <cell r="J37">
            <v>-5.5579231112208055E-2</v>
          </cell>
          <cell r="K37">
            <v>4.3701786909793467E-4</v>
          </cell>
          <cell r="L37" t="str">
            <v/>
          </cell>
          <cell r="M37">
            <v>2.0980738682778117</v>
          </cell>
          <cell r="N37" t="str">
            <v/>
          </cell>
          <cell r="O37" t="str">
            <v/>
          </cell>
          <cell r="P37">
            <v>68.194301555363239</v>
          </cell>
          <cell r="Q37">
            <v>4.9301308420358323</v>
          </cell>
          <cell r="R37">
            <v>-3.3849258985572235E-2</v>
          </cell>
          <cell r="S37">
            <v>3.3498536533388082E-4</v>
          </cell>
        </row>
        <row r="38">
          <cell r="B38">
            <v>2021</v>
          </cell>
          <cell r="D38">
            <v>97.288860144761671</v>
          </cell>
          <cell r="E38">
            <v>3.8247907662656058</v>
          </cell>
          <cell r="F38">
            <v>-7.0736571419264252E-3</v>
          </cell>
          <cell r="G38">
            <v>2.1286853775387071E-4</v>
          </cell>
          <cell r="H38">
            <v>46.870101639191354</v>
          </cell>
          <cell r="I38">
            <v>5.9219778919206298</v>
          </cell>
          <cell r="J38">
            <v>-5.6283111040787738E-2</v>
          </cell>
          <cell r="K38">
            <v>4.4255245639489944E-4</v>
          </cell>
          <cell r="L38" t="str">
            <v/>
          </cell>
          <cell r="M38">
            <v>2.1064620451952121</v>
          </cell>
          <cell r="N38" t="str">
            <v/>
          </cell>
          <cell r="O38" t="str">
            <v/>
          </cell>
          <cell r="P38">
            <v>68.377216914887569</v>
          </cell>
          <cell r="Q38">
            <v>4.953635021794339</v>
          </cell>
          <cell r="R38">
            <v>-3.398670623865812E-2</v>
          </cell>
          <cell r="S38">
            <v>3.3618388490181235E-4</v>
          </cell>
        </row>
        <row r="39">
          <cell r="B39">
            <v>2022</v>
          </cell>
          <cell r="D39">
            <v>97.021016290532572</v>
          </cell>
          <cell r="E39">
            <v>3.8142608176267583</v>
          </cell>
          <cell r="F39">
            <v>-7.0541828096177765E-3</v>
          </cell>
          <cell r="G39">
            <v>2.1228249399191001E-4</v>
          </cell>
          <cell r="H39">
            <v>47.398666417630807</v>
          </cell>
          <cell r="I39">
            <v>5.9887613812431502</v>
          </cell>
          <cell r="J39">
            <v>-5.6917828463552658E-2</v>
          </cell>
          <cell r="K39">
            <v>4.4754322093095529E-4</v>
          </cell>
          <cell r="L39" t="str">
            <v/>
          </cell>
          <cell r="M39">
            <v>2.1486497980640671</v>
          </cell>
          <cell r="N39" t="str">
            <v/>
          </cell>
          <cell r="O39" t="str">
            <v/>
          </cell>
          <cell r="P39">
            <v>68.4702077321231</v>
          </cell>
          <cell r="Q39">
            <v>4.9710017209413397</v>
          </cell>
          <cell r="R39">
            <v>-3.4076211138781037E-2</v>
          </cell>
          <cell r="S39">
            <v>3.3691941084244657E-4</v>
          </cell>
        </row>
        <row r="40">
          <cell r="B40">
            <v>2023</v>
          </cell>
          <cell r="D40">
            <v>96.658818263605767</v>
          </cell>
          <cell r="E40">
            <v>3.8000214518156259</v>
          </cell>
          <cell r="F40">
            <v>-7.027848194779549E-3</v>
          </cell>
          <cell r="G40">
            <v>2.1149000280376649E-4</v>
          </cell>
          <cell r="H40">
            <v>47.880021449685721</v>
          </cell>
          <cell r="I40">
            <v>6.049579978990983</v>
          </cell>
          <cell r="J40">
            <v>-5.749585491904758E-2</v>
          </cell>
          <cell r="K40">
            <v>4.5208822604901166E-4</v>
          </cell>
          <cell r="L40" t="str">
            <v/>
          </cell>
          <cell r="M40">
            <v>2.1322356009311414</v>
          </cell>
          <cell r="N40" t="str">
            <v/>
          </cell>
          <cell r="O40" t="str">
            <v/>
          </cell>
          <cell r="P40">
            <v>68.490496767074504</v>
          </cell>
          <cell r="Q40">
            <v>4.9820190846368364</v>
          </cell>
          <cell r="R40">
            <v>-3.4126239303328441E-2</v>
          </cell>
          <cell r="S40">
            <v>3.3727601041454478E-4</v>
          </cell>
        </row>
        <row r="41">
          <cell r="B41">
            <v>2024</v>
          </cell>
          <cell r="D41">
            <v>96.22484984967933</v>
          </cell>
          <cell r="E41">
            <v>3.7829605223323646</v>
          </cell>
          <cell r="F41">
            <v>-6.9962953143575422E-3</v>
          </cell>
          <cell r="G41">
            <v>2.1054047763134254E-4</v>
          </cell>
          <cell r="H41">
            <v>48.323587411328809</v>
          </cell>
          <cell r="I41">
            <v>6.1056239756240611</v>
          </cell>
          <cell r="J41">
            <v>-5.8028503055065198E-2</v>
          </cell>
          <cell r="K41">
            <v>4.5627642276788058E-4</v>
          </cell>
          <cell r="L41" t="str">
            <v/>
          </cell>
          <cell r="M41">
            <v>2.1839247095469601</v>
          </cell>
          <cell r="N41" t="str">
            <v/>
          </cell>
          <cell r="O41" t="str">
            <v/>
          </cell>
          <cell r="P41">
            <v>68.453369785616047</v>
          </cell>
          <cell r="Q41">
            <v>4.9900493042856917</v>
          </cell>
          <cell r="R41">
            <v>-3.4144318749617347E-2</v>
          </cell>
          <cell r="S41">
            <v>3.3732838933565201E-4</v>
          </cell>
        </row>
        <row r="42">
          <cell r="B42">
            <v>2025</v>
          </cell>
          <cell r="D42">
            <v>95.723953938430213</v>
          </cell>
          <cell r="E42">
            <v>3.7632684213728584</v>
          </cell>
          <cell r="F42">
            <v>-6.9598762841140251E-3</v>
          </cell>
          <cell r="G42">
            <v>2.0944451474272567E-4</v>
          </cell>
          <cell r="H42">
            <v>48.730681823348831</v>
          </cell>
          <cell r="I42">
            <v>6.1570598382228985</v>
          </cell>
          <cell r="J42">
            <v>-5.8517354992536762E-2</v>
          </cell>
          <cell r="K42">
            <v>4.6012025125818321E-4</v>
          </cell>
          <cell r="L42" t="str">
            <v/>
          </cell>
          <cell r="M42">
            <v>2.2791627237981769</v>
          </cell>
          <cell r="N42" t="str">
            <v/>
          </cell>
          <cell r="O42" t="str">
            <v/>
          </cell>
          <cell r="P42">
            <v>68.361890553430158</v>
          </cell>
          <cell r="Q42">
            <v>4.995339812499453</v>
          </cell>
          <cell r="R42">
            <v>-3.4132045383867389E-2</v>
          </cell>
          <cell r="S42">
            <v>3.3709208079369751E-4</v>
          </cell>
        </row>
        <row r="43">
          <cell r="B43">
            <v>2026</v>
          </cell>
          <cell r="D43">
            <v>94.563474797420284</v>
          </cell>
          <cell r="E43">
            <v>3.7176456245143679</v>
          </cell>
          <cell r="F43">
            <v>-6.8755004208173745E-3</v>
          </cell>
          <cell r="G43">
            <v>2.0690538027786425E-4</v>
          </cell>
          <cell r="H43">
            <v>48.314752823406558</v>
          </cell>
          <cell r="I43">
            <v>6.1045077366459042</v>
          </cell>
          <cell r="J43">
            <v>-5.801789420047266E-2</v>
          </cell>
          <cell r="K43">
            <v>4.5619300565442254E-4</v>
          </cell>
          <cell r="L43" t="str">
            <v/>
          </cell>
          <cell r="M43">
            <v>2.27929516631262</v>
          </cell>
          <cell r="N43" t="str">
            <v/>
          </cell>
          <cell r="O43" t="str">
            <v/>
          </cell>
          <cell r="P43">
            <v>67.362830290577818</v>
          </cell>
          <cell r="Q43">
            <v>4.9258267175441723</v>
          </cell>
          <cell r="R43">
            <v>-3.3504019698996655E-2</v>
          </cell>
          <cell r="S43">
            <v>3.3133486889152988E-4</v>
          </cell>
        </row>
        <row r="44">
          <cell r="B44">
            <v>2027</v>
          </cell>
          <cell r="D44">
            <v>93.418148141345782</v>
          </cell>
          <cell r="E44">
            <v>3.6726185287914515</v>
          </cell>
          <cell r="F44">
            <v>-6.7922262610777594E-3</v>
          </cell>
          <cell r="G44">
            <v>2.0439939952974636E-4</v>
          </cell>
          <cell r="H44">
            <v>47.902930755246558</v>
          </cell>
          <cell r="I44">
            <v>6.052474540690354</v>
          </cell>
          <cell r="J44">
            <v>-5.752336514291425E-2</v>
          </cell>
          <cell r="K44">
            <v>4.5230453813487607E-4</v>
          </cell>
          <cell r="L44" t="str">
            <v/>
          </cell>
          <cell r="M44">
            <v>2.3332059027556</v>
          </cell>
          <cell r="N44" t="str">
            <v/>
          </cell>
          <cell r="O44" t="str">
            <v/>
          </cell>
          <cell r="P44">
            <v>66.377100269325126</v>
          </cell>
          <cell r="Q44">
            <v>4.8593942917264688</v>
          </cell>
          <cell r="R44">
            <v>-3.2884645694754862E-2</v>
          </cell>
          <cell r="S44">
            <v>3.2565622368855261E-4</v>
          </cell>
        </row>
        <row r="45">
          <cell r="B45">
            <v>2028</v>
          </cell>
          <cell r="D45">
            <v>92.287763687395554</v>
          </cell>
          <cell r="E45">
            <v>3.6281788671964263</v>
          </cell>
          <cell r="F45">
            <v>-6.7100385156985869E-3</v>
          </cell>
          <cell r="G45">
            <v>2.0192611239847503E-4</v>
          </cell>
          <cell r="H45">
            <v>47.495171101315975</v>
          </cell>
          <cell r="I45">
            <v>6.0009546256199133</v>
          </cell>
          <cell r="J45">
            <v>-5.7033714361766005E-2</v>
          </cell>
          <cell r="K45">
            <v>4.4845442836010188E-4</v>
          </cell>
          <cell r="L45" t="str">
            <v/>
          </cell>
          <cell r="M45">
            <v>2.2984479865210385</v>
          </cell>
          <cell r="N45" t="str">
            <v/>
          </cell>
          <cell r="O45" t="str">
            <v/>
          </cell>
          <cell r="P45">
            <v>65.404519048566897</v>
          </cell>
          <cell r="Q45">
            <v>4.790933795776092</v>
          </cell>
          <cell r="R45">
            <v>-3.2273806228884726E-2</v>
          </cell>
          <cell r="S45">
            <v>3.2005507976747043E-4</v>
          </cell>
        </row>
        <row r="46">
          <cell r="B46">
            <v>2029</v>
          </cell>
          <cell r="D46">
            <v>91.17211420349561</v>
          </cell>
          <cell r="E46">
            <v>3.5843184926575495</v>
          </cell>
          <cell r="F46">
            <v>-6.6289221172955923E-3</v>
          </cell>
          <cell r="G46">
            <v>1.9948506545918232E-4</v>
          </cell>
          <cell r="H46">
            <v>47.091429851021275</v>
          </cell>
          <cell r="I46">
            <v>5.949942430751908</v>
          </cell>
          <cell r="J46">
            <v>-5.6548889007705272E-2</v>
          </cell>
          <cell r="K46">
            <v>4.4464226077742123E-4</v>
          </cell>
          <cell r="L46" t="str">
            <v/>
          </cell>
          <cell r="M46">
            <v>2.2620042269763085</v>
          </cell>
          <cell r="N46" t="str">
            <v/>
          </cell>
          <cell r="O46" t="str">
            <v/>
          </cell>
          <cell r="P46">
            <v>64.444907725209475</v>
          </cell>
          <cell r="Q46">
            <v>4.7230952547562914</v>
          </cell>
          <cell r="R46">
            <v>-3.1671385763762605E-2</v>
          </cell>
          <cell r="S46">
            <v>3.1453038639574714E-4</v>
          </cell>
        </row>
        <row r="47">
          <cell r="B47">
            <v>2030</v>
          </cell>
          <cell r="D47">
            <v>90.070995462721569</v>
          </cell>
          <cell r="E47">
            <v>3.5410293762468124</v>
          </cell>
          <cell r="F47">
            <v>-6.5488622169822827E-3</v>
          </cell>
          <cell r="G47">
            <v>1.9707581186228352E-4</v>
          </cell>
          <cell r="H47">
            <v>46.691663494818108</v>
          </cell>
          <cell r="I47">
            <v>5.8994324587106011</v>
          </cell>
          <cell r="J47">
            <v>-5.6068836833085292E-2</v>
          </cell>
          <cell r="K47">
            <v>4.408676245651154E-4</v>
          </cell>
          <cell r="L47" t="str">
            <v/>
          </cell>
          <cell r="M47">
            <v>2.2692597081300563</v>
          </cell>
          <cell r="N47" t="str">
            <v/>
          </cell>
          <cell r="O47" t="str">
            <v/>
          </cell>
          <cell r="P47">
            <v>63.498089898074163</v>
          </cell>
          <cell r="Q47">
            <v>4.6582452910280603</v>
          </cell>
          <cell r="R47">
            <v>-3.1077270344345216E-2</v>
          </cell>
          <cell r="S47">
            <v>3.0908110732169472E-4</v>
          </cell>
        </row>
        <row r="48">
          <cell r="B48">
            <v>2031</v>
          </cell>
          <cell r="D48">
            <v>89.883398990714525</v>
          </cell>
          <cell r="E48">
            <v>3.533654253824277</v>
          </cell>
          <cell r="F48">
            <v>-6.5352224937700008E-3</v>
          </cell>
          <cell r="G48">
            <v>1.9666534979474048E-4</v>
          </cell>
          <cell r="H48">
            <v>46.606694503502851</v>
          </cell>
          <cell r="I48">
            <v>5.8886967344328651</v>
          </cell>
          <cell r="J48">
            <v>-5.5966803361725756E-2</v>
          </cell>
          <cell r="K48">
            <v>4.4006533836327529E-4</v>
          </cell>
          <cell r="L48" t="str">
            <v/>
          </cell>
          <cell r="M48">
            <v>2.2710645046569526</v>
          </cell>
          <cell r="N48" t="str">
            <v/>
          </cell>
          <cell r="O48" t="str">
            <v/>
          </cell>
          <cell r="P48">
            <v>63.372006575348621</v>
          </cell>
          <cell r="Q48">
            <v>4.6496693202861357</v>
          </cell>
          <cell r="R48">
            <v>-3.1019950633454696E-2</v>
          </cell>
          <cell r="S48">
            <v>3.0849560473840507E-4</v>
          </cell>
        </row>
        <row r="49">
          <cell r="B49">
            <v>2032</v>
          </cell>
          <cell r="D49">
            <v>89.697231931239486</v>
          </cell>
          <cell r="E49">
            <v>3.5263353269810236</v>
          </cell>
          <cell r="F49">
            <v>-6.5216866999711258E-3</v>
          </cell>
          <cell r="G49">
            <v>1.9625801528933644E-4</v>
          </cell>
          <cell r="H49">
            <v>46.522420946221608</v>
          </cell>
          <cell r="I49">
            <v>5.8780488773632387</v>
          </cell>
          <cell r="J49">
            <v>-5.5865604989706524E-2</v>
          </cell>
          <cell r="K49">
            <v>4.3926961852312963E-4</v>
          </cell>
          <cell r="L49" t="str">
            <v/>
          </cell>
          <cell r="M49">
            <v>2.2728707365816967</v>
          </cell>
          <cell r="N49" t="str">
            <v/>
          </cell>
          <cell r="O49" t="str">
            <v/>
          </cell>
          <cell r="P49">
            <v>63.246908072878114</v>
          </cell>
          <cell r="Q49">
            <v>4.6411625481498389</v>
          </cell>
          <cell r="R49">
            <v>-3.0963096633586415E-2</v>
          </cell>
          <cell r="S49">
            <v>3.0791479114632847E-4</v>
          </cell>
        </row>
        <row r="50">
          <cell r="B50">
            <v>2033</v>
          </cell>
          <cell r="D50">
            <v>89.512486561495663</v>
          </cell>
          <cell r="E50">
            <v>3.5190722921047279</v>
          </cell>
          <cell r="F50">
            <v>-6.5082542740779485E-3</v>
          </cell>
          <cell r="G50">
            <v>1.9585379144854265E-4</v>
          </cell>
          <cell r="H50">
            <v>46.438839567651712</v>
          </cell>
          <cell r="I50">
            <v>5.8674884761958284</v>
          </cell>
          <cell r="J50">
            <v>-5.5765237807932425E-2</v>
          </cell>
          <cell r="K50">
            <v>4.3848043430757752E-4</v>
          </cell>
          <cell r="L50" t="str">
            <v/>
          </cell>
          <cell r="M50">
            <v>2.274678405045897</v>
          </cell>
          <cell r="N50" t="str">
            <v/>
          </cell>
          <cell r="O50" t="str">
            <v/>
          </cell>
          <cell r="P50">
            <v>63.122789322049584</v>
          </cell>
          <cell r="Q50">
            <v>4.6327246330859486</v>
          </cell>
          <cell r="R50">
            <v>-3.0906706131400532E-2</v>
          </cell>
          <cell r="S50">
            <v>3.0733864359274072E-4</v>
          </cell>
        </row>
        <row r="51">
          <cell r="B51">
            <v>2034</v>
          </cell>
          <cell r="D51">
            <v>89.329155203049325</v>
          </cell>
          <cell r="E51">
            <v>3.5118648473272986</v>
          </cell>
          <cell r="F51">
            <v>-6.4949246578085897E-3</v>
          </cell>
          <cell r="G51">
            <v>1.9545266147190569E-4</v>
          </cell>
          <cell r="H51">
            <v>46.355947130149367</v>
          </cell>
          <cell r="I51">
            <v>5.8570151218584465</v>
          </cell>
          <cell r="J51">
            <v>-5.5665697928537636E-2</v>
          </cell>
          <cell r="K51">
            <v>4.376977551464435E-4</v>
          </cell>
          <cell r="L51" t="str">
            <v/>
          </cell>
          <cell r="M51">
            <v>2.2764875111920659</v>
          </cell>
          <cell r="N51" t="str">
            <v/>
          </cell>
          <cell r="O51" t="str">
            <v/>
          </cell>
          <cell r="P51">
            <v>62.999645282855056</v>
          </cell>
          <cell r="Q51">
            <v>4.6243552354588173</v>
          </cell>
          <cell r="R51">
            <v>-3.0850776925655733E-2</v>
          </cell>
          <cell r="S51">
            <v>3.0676713925192813E-4</v>
          </cell>
        </row>
        <row r="52">
          <cell r="B52">
            <v>2035</v>
          </cell>
          <cell r="D52">
            <v>89.147230221581907</v>
          </cell>
          <cell r="E52">
            <v>3.504712692514977</v>
          </cell>
          <cell r="F52">
            <v>-6.4816972960886881E-3</v>
          </cell>
          <cell r="G52">
            <v>1.9505460865549643E-4</v>
          </cell>
          <cell r="H52">
            <v>46.273740413657841</v>
          </cell>
          <cell r="I52">
            <v>5.8466284075010124</v>
          </cell>
          <cell r="J52">
            <v>-5.5566981484775499E-2</v>
          </cell>
          <cell r="K52">
            <v>4.3692155063561171E-4</v>
          </cell>
          <cell r="L52" t="str">
            <v/>
          </cell>
          <cell r="M52">
            <v>2.2782980561636279</v>
          </cell>
          <cell r="N52" t="str">
            <v/>
          </cell>
          <cell r="O52" t="str">
            <v/>
          </cell>
          <cell r="P52">
            <v>62.877470943733591</v>
          </cell>
          <cell r="Q52">
            <v>4.6160540175201348</v>
          </cell>
          <cell r="R52">
            <v>-3.0795306827145763E-2</v>
          </cell>
          <cell r="S52">
            <v>3.06200255424508E-4</v>
          </cell>
        </row>
        <row r="53">
          <cell r="B53">
            <v>2036</v>
          </cell>
          <cell r="D53">
            <v>89.47548839741421</v>
          </cell>
          <cell r="E53">
            <v>3.5176177552118411</v>
          </cell>
          <cell r="F53">
            <v>-6.5055642196646954E-3</v>
          </cell>
          <cell r="G53">
            <v>1.9577283927091536E-4</v>
          </cell>
          <cell r="H53">
            <v>46.43567876754657</v>
          </cell>
          <cell r="I53">
            <v>5.8670891131117129</v>
          </cell>
          <cell r="J53">
            <v>-5.5761442218482567E-2</v>
          </cell>
          <cell r="K53">
            <v>4.384505896987163E-4</v>
          </cell>
          <cell r="L53" t="str">
            <v/>
          </cell>
          <cell r="M53">
            <v>2.2782980561636279</v>
          </cell>
          <cell r="N53" t="str">
            <v/>
          </cell>
          <cell r="O53" t="str">
            <v/>
          </cell>
          <cell r="P53">
            <v>63.104753260394922</v>
          </cell>
          <cell r="Q53">
            <v>4.6320695274956938</v>
          </cell>
          <cell r="R53">
            <v>-3.090360352368958E-2</v>
          </cell>
          <cell r="S53">
            <v>3.0728766246805865E-4</v>
          </cell>
        </row>
        <row r="54">
          <cell r="B54">
            <v>2037</v>
          </cell>
          <cell r="D54">
            <v>89.805992719122187</v>
          </cell>
          <cell r="E54">
            <v>3.5306111223455354</v>
          </cell>
          <cell r="F54">
            <v>-6.529594455523236E-3</v>
          </cell>
          <cell r="G54">
            <v>1.964959844653254E-4</v>
          </cell>
          <cell r="H54">
            <v>46.598725204013228</v>
          </cell>
          <cell r="I54">
            <v>5.8876898235506383</v>
          </cell>
          <cell r="J54">
            <v>-5.5957233573045884E-2</v>
          </cell>
          <cell r="K54">
            <v>4.3999009139470617E-4</v>
          </cell>
          <cell r="L54" t="str">
            <v/>
          </cell>
          <cell r="M54">
            <v>2.2782980561636279</v>
          </cell>
          <cell r="N54" t="str">
            <v/>
          </cell>
          <cell r="O54" t="str">
            <v/>
          </cell>
          <cell r="P54">
            <v>63.333590783524116</v>
          </cell>
          <cell r="Q54">
            <v>4.6481946255160507</v>
          </cell>
          <cell r="R54">
            <v>-3.1012641253347569E-2</v>
          </cell>
          <cell r="S54">
            <v>3.0838251022451721E-4</v>
          </cell>
        </row>
        <row r="55">
          <cell r="B55">
            <v>2038</v>
          </cell>
          <cell r="D55">
            <v>90.138758556228012</v>
          </cell>
          <cell r="E55">
            <v>3.5436933981497458</v>
          </cell>
          <cell r="F55">
            <v>-6.5537891211481618E-3</v>
          </cell>
          <cell r="G55">
            <v>1.9722407786732185E-4</v>
          </cell>
          <cell r="H55">
            <v>46.762887305245563</v>
          </cell>
          <cell r="I55">
            <v>5.9084314968175935</v>
          </cell>
          <cell r="J55">
            <v>-5.6154364653398021E-2</v>
          </cell>
          <cell r="K55">
            <v>4.4154012731539995E-4</v>
          </cell>
          <cell r="L55" t="str">
            <v/>
          </cell>
          <cell r="M55">
            <v>2.2782980561636279</v>
          </cell>
          <cell r="N55" t="str">
            <v/>
          </cell>
          <cell r="O55" t="str">
            <v/>
          </cell>
          <cell r="P55">
            <v>63.563994154807695</v>
          </cell>
          <cell r="Q55">
            <v>4.6644300614505276</v>
          </cell>
          <cell r="R55">
            <v>-3.1122425086727575E-2</v>
          </cell>
          <cell r="S55">
            <v>3.0948484960785294E-4</v>
          </cell>
        </row>
        <row r="56">
          <cell r="B56">
            <v>2039</v>
          </cell>
          <cell r="D56">
            <v>90.473801383421531</v>
          </cell>
          <cell r="E56">
            <v>3.5568651909926929</v>
          </cell>
          <cell r="F56">
            <v>-6.5781493416698358E-3</v>
          </cell>
          <cell r="G56">
            <v>1.9795715333560757E-4</v>
          </cell>
          <cell r="H56">
            <v>46.928172705313287</v>
          </cell>
          <cell r="I56">
            <v>5.9293150974676054</v>
          </cell>
          <cell r="J56">
            <v>-5.635284462677307E-2</v>
          </cell>
          <cell r="K56">
            <v>4.4310076954249129E-4</v>
          </cell>
          <cell r="L56" t="str">
            <v/>
          </cell>
          <cell r="M56">
            <v>2.2782980561636279</v>
          </cell>
          <cell r="N56" t="str">
            <v/>
          </cell>
          <cell r="O56" t="str">
            <v/>
          </cell>
          <cell r="P56">
            <v>63.795974088749091</v>
          </cell>
          <cell r="Q56">
            <v>4.6807765902995095</v>
          </cell>
          <cell r="R56">
            <v>-3.1232960129133621E-2</v>
          </cell>
          <cell r="S56">
            <v>3.1059473188041958E-4</v>
          </cell>
        </row>
        <row r="57">
          <cell r="B57">
            <v>2040</v>
          </cell>
          <cell r="D57">
            <v>90.811136781280112</v>
          </cell>
          <cell r="E57">
            <v>3.570127113405436</v>
          </cell>
          <cell r="F57">
            <v>-6.6026762499174652E-3</v>
          </cell>
          <cell r="G57">
            <v>1.9869524496056784E-4</v>
          </cell>
          <cell r="H57">
            <v>47.094589090523222</v>
          </cell>
          <cell r="I57">
            <v>5.9503415966557904</v>
          </cell>
          <cell r="J57">
            <v>-5.6552682723133102E-2</v>
          </cell>
          <cell r="K57">
            <v>4.4467209065090206E-4</v>
          </cell>
          <cell r="L57" t="str">
            <v/>
          </cell>
          <cell r="M57">
            <v>2.2782980561636279</v>
          </cell>
          <cell r="N57" t="str">
            <v/>
          </cell>
          <cell r="O57" t="str">
            <v/>
          </cell>
          <cell r="P57">
            <v>64.029541373167135</v>
          </cell>
          <cell r="Q57">
            <v>4.6972349722295714</v>
          </cell>
          <cell r="R57">
            <v>-3.1344251520803453E-2</v>
          </cell>
          <cell r="S57">
            <v>3.1171220865534014E-4</v>
          </cell>
        </row>
        <row r="58">
          <cell r="B58">
            <v>2041</v>
          </cell>
          <cell r="D58">
            <v>91.150780436993031</v>
          </cell>
          <cell r="E58">
            <v>3.5834797821103481</v>
          </cell>
          <cell r="F58">
            <v>-6.6273709864717711E-3</v>
          </cell>
          <cell r="G58">
            <v>1.9943838706585522E-4</v>
          </cell>
          <cell r="H58">
            <v>47.262144199776614</v>
          </cell>
          <cell r="I58">
            <v>5.9715119721825038</v>
          </cell>
          <cell r="J58">
            <v>-5.6753888235597252E-2</v>
          </cell>
          <cell r="K58">
            <v>4.4625416371215612E-4</v>
          </cell>
          <cell r="L58" t="str">
            <v/>
          </cell>
          <cell r="M58">
            <v>2.2782980561636279</v>
          </cell>
          <cell r="N58" t="str">
            <v/>
          </cell>
          <cell r="O58" t="str">
            <v/>
          </cell>
          <cell r="P58">
            <v>64.264706869697505</v>
          </cell>
          <cell r="Q58">
            <v>4.7138059726088102</v>
          </cell>
          <cell r="R58">
            <v>-3.1456304437147461E-2</v>
          </cell>
          <cell r="S58">
            <v>3.128373318989062E-4</v>
          </cell>
        </row>
        <row r="59">
          <cell r="B59">
            <v>2042</v>
          </cell>
          <cell r="D59">
            <v>91.492748145091113</v>
          </cell>
          <cell r="E59">
            <v>3.5969238180498002</v>
          </cell>
          <cell r="F59">
            <v>-6.6522346997180447E-3</v>
          </cell>
          <cell r="G59">
            <v>2.0018661420998624E-4</v>
          </cell>
          <cell r="H59">
            <v>47.430845824929115</v>
          </cell>
          <cell r="I59">
            <v>5.9928272085388254</v>
          </cell>
          <cell r="J59">
            <v>-5.6956470520873964E-2</v>
          </cell>
          <cell r="K59">
            <v>4.4784706229777856E-4</v>
          </cell>
          <cell r="L59" t="str">
            <v/>
          </cell>
          <cell r="M59">
            <v>2.2782980561636279</v>
          </cell>
          <cell r="N59" t="str">
            <v/>
          </cell>
          <cell r="O59" t="str">
            <v/>
          </cell>
          <cell r="P59">
            <v>64.501481514297993</v>
          </cell>
          <cell r="Q59">
            <v>4.7304903620424543</v>
          </cell>
          <cell r="R59">
            <v>-3.1569124088989431E-2</v>
          </cell>
          <cell r="S59">
            <v>3.1397015393299515E-4</v>
          </cell>
        </row>
        <row r="60">
          <cell r="B60">
            <v>2043</v>
          </cell>
          <cell r="D60">
            <v>91.837055808181063</v>
          </cell>
          <cell r="E60">
            <v>3.6104598464150355</v>
          </cell>
          <cell r="F60">
            <v>-6.6772685458995323E-3</v>
          </cell>
          <cell r="G60">
            <v>2.0093996118794813E-4</v>
          </cell>
          <cell r="H60">
            <v>47.600701811153044</v>
          </cell>
          <cell r="I60">
            <v>6.0142882969523273</v>
          </cell>
          <cell r="J60">
            <v>-5.7160438999696084E-2</v>
          </cell>
          <cell r="K60">
            <v>4.4945086048271622E-4</v>
          </cell>
          <cell r="L60" t="str">
            <v/>
          </cell>
          <cell r="M60">
            <v>2.2782980561636279</v>
          </cell>
          <cell r="N60" t="str">
            <v/>
          </cell>
          <cell r="O60" t="str">
            <v/>
          </cell>
          <cell r="P60">
            <v>64.739876317756938</v>
          </cell>
          <cell r="Q60">
            <v>4.7472889164086851</v>
          </cell>
          <cell r="R60">
            <v>-3.1682715722808813E-2</v>
          </cell>
          <cell r="S60">
            <v>3.1511072743750326E-4</v>
          </cell>
        </row>
        <row r="61">
          <cell r="B61">
            <v>2044</v>
          </cell>
          <cell r="D61">
            <v>92.183719437685127</v>
          </cell>
          <cell r="E61">
            <v>3.6240884966752436</v>
          </cell>
          <cell r="F61">
            <v>-6.7024736891712171E-3</v>
          </cell>
          <cell r="G61">
            <v>2.0169846303281686E-4</v>
          </cell>
          <cell r="H61">
            <v>47.771720057302254</v>
          </cell>
          <cell r="I61">
            <v>6.0358962354331736</v>
          </cell>
          <cell r="J61">
            <v>-5.7365803157258914E-2</v>
          </cell>
          <cell r="K61">
            <v>4.5106563284878244E-4</v>
          </cell>
          <cell r="L61" t="str">
            <v/>
          </cell>
          <cell r="M61">
            <v>2.2782980561636279</v>
          </cell>
          <cell r="N61" t="str">
            <v/>
          </cell>
          <cell r="O61" t="str">
            <v/>
          </cell>
          <cell r="P61">
            <v>64.979902366205337</v>
          </cell>
          <cell r="Q61">
            <v>4.7642024168947223</v>
          </cell>
          <cell r="R61">
            <v>-3.1797084620984732E-2</v>
          </cell>
          <cell r="S61">
            <v>3.1625910545279487E-4</v>
          </cell>
        </row>
        <row r="62">
          <cell r="B62">
            <v>2045</v>
          </cell>
          <cell r="D62">
            <v>92.532755154585573</v>
          </cell>
          <cell r="E62">
            <v>3.637810402606831</v>
          </cell>
          <cell r="F62">
            <v>-6.7278513016539475E-3</v>
          </cell>
          <cell r="G62">
            <v>2.0246215501738656E-4</v>
          </cell>
          <cell r="H62">
            <v>47.943908516279457</v>
          </cell>
          <cell r="I62">
            <v>6.0576520288205353</v>
          </cell>
          <cell r="J62">
            <v>-5.7572572543661368E-2</v>
          </cell>
          <cell r="K62">
            <v>4.526914544881257E-4</v>
          </cell>
          <cell r="L62" t="str">
            <v/>
          </cell>
          <cell r="M62">
            <v>2.2782980561636279</v>
          </cell>
          <cell r="N62" t="str">
            <v/>
          </cell>
          <cell r="O62" t="str">
            <v/>
          </cell>
          <cell r="P62">
            <v>65.221570821632355</v>
          </cell>
          <cell r="Q62">
            <v>4.781231650033158</v>
          </cell>
          <cell r="R62">
            <v>-3.1912236102041615E-2</v>
          </cell>
          <cell r="S62">
            <v>3.1741534138216953E-4</v>
          </cell>
        </row>
        <row r="63">
          <cell r="B63">
            <v>2046</v>
          </cell>
          <cell r="D63">
            <v>92.884179190174521</v>
          </cell>
          <cell r="E63">
            <v>3.6516262023228969</v>
          </cell>
          <cell r="F63">
            <v>-6.7534025634889555E-3</v>
          </cell>
          <cell r="G63">
            <v>2.0323107265580962E-4</v>
          </cell>
          <cell r="H63">
            <v>48.117275195406073</v>
          </cell>
          <cell r="I63">
            <v>6.0795566888293173</v>
          </cell>
          <cell r="J63">
            <v>-5.7780756774350066E-2</v>
          </cell>
          <cell r="K63">
            <v>4.5432840100672163E-4</v>
          </cell>
          <cell r="L63" t="str">
            <v/>
          </cell>
          <cell r="M63">
            <v>2.2782980561636279</v>
          </cell>
          <cell r="N63" t="str">
            <v/>
          </cell>
          <cell r="O63" t="str">
            <v/>
          </cell>
          <cell r="P63">
            <v>65.464892922404445</v>
          </cell>
          <cell r="Q63">
            <v>4.7983774077385224</v>
          </cell>
          <cell r="R63">
            <v>-3.2028175520896547E-2</v>
          </cell>
          <cell r="S63">
            <v>3.1857948899434549E-4</v>
          </cell>
        </row>
        <row r="64">
          <cell r="B64">
            <v>2047</v>
          </cell>
          <cell r="D64">
            <v>93.238007886808532</v>
          </cell>
          <cell r="E64">
            <v>3.6655365383029039</v>
          </cell>
          <cell r="F64">
            <v>-6.7791286628927265E-3</v>
          </cell>
          <cell r="G64">
            <v>2.0400525170524822E-4</v>
          </cell>
          <cell r="H64">
            <v>48.291828156794551</v>
          </cell>
          <cell r="I64">
            <v>6.1016112340971995</v>
          </cell>
          <cell r="J64">
            <v>-5.799036553056644E-2</v>
          </cell>
          <cell r="K64">
            <v>4.559765485278885E-4</v>
          </cell>
          <cell r="L64" t="str">
            <v/>
          </cell>
          <cell r="M64">
            <v>2.2782980561636279</v>
          </cell>
          <cell r="N64" t="str">
            <v/>
          </cell>
          <cell r="O64" t="str">
            <v/>
          </cell>
          <cell r="P64">
            <v>65.709879983787857</v>
          </cell>
          <cell r="Q64">
            <v>4.815640487344119</v>
          </cell>
          <cell r="R64">
            <v>-3.2144908269108256E-2</v>
          </cell>
          <cell r="S64">
            <v>3.1975160242595944E-4</v>
          </cell>
        </row>
        <row r="65">
          <cell r="B65">
            <v>2048</v>
          </cell>
          <cell r="D65">
            <v>93.594257698668784</v>
          </cell>
          <cell r="E65">
            <v>3.6795420574225597</v>
          </cell>
          <cell r="F65">
            <v>-6.8050307962122612E-3</v>
          </cell>
          <cell r="G65">
            <v>2.047847281675374E-4</v>
          </cell>
          <cell r="H65">
            <v>48.467575517723319</v>
          </cell>
          <cell r="I65">
            <v>6.1238166902320188</v>
          </cell>
          <cell r="J65">
            <v>-5.8201408559796997E-2</v>
          </cell>
          <cell r="K65">
            <v>4.5763597369582782E-4</v>
          </cell>
          <cell r="L65" t="str">
            <v/>
          </cell>
          <cell r="M65">
            <v>2.2782980561636279</v>
          </cell>
          <cell r="N65" t="str">
            <v/>
          </cell>
          <cell r="O65" t="str">
            <v/>
          </cell>
          <cell r="P65">
            <v>65.956543398474992</v>
          </cell>
          <cell r="Q65">
            <v>4.8330216916391002</v>
          </cell>
          <cell r="R65">
            <v>-3.2262439775127862E-2</v>
          </cell>
          <cell r="S65">
            <v>3.2093173618408504E-4</v>
          </cell>
        </row>
        <row r="66">
          <cell r="B66">
            <v>2049</v>
          </cell>
          <cell r="D66">
            <v>93.952945192526116</v>
          </cell>
          <cell r="E66">
            <v>3.6936434109838943</v>
          </cell>
          <cell r="F66">
            <v>-6.8311101679807079E-3</v>
          </cell>
          <cell r="G66">
            <v>2.0556953829085881E-4</v>
          </cell>
          <cell r="H66">
            <v>48.64452545101426</v>
          </cell>
          <cell r="I66">
            <v>6.1461740898594508</v>
          </cell>
          <cell r="J66">
            <v>-5.8413895676226596E-2</v>
          </cell>
          <cell r="K66">
            <v>4.59306753679188E-4</v>
          </cell>
          <cell r="L66" t="str">
            <v/>
          </cell>
          <cell r="M66">
            <v>2.2782980561636279</v>
          </cell>
          <cell r="N66" t="str">
            <v/>
          </cell>
          <cell r="O66" t="str">
            <v/>
          </cell>
          <cell r="P66">
            <v>66.204894637114023</v>
          </cell>
          <cell r="Q66">
            <v>4.8505218289057952</v>
          </cell>
          <cell r="R66">
            <v>-3.2380775504551318E-2</v>
          </cell>
          <cell r="S66">
            <v>3.221199451487667E-4</v>
          </cell>
        </row>
        <row r="67">
          <cell r="B67">
            <v>2050</v>
          </cell>
          <cell r="D67">
            <v>94.314087048511524</v>
          </cell>
          <cell r="E67">
            <v>3.707841254745551</v>
          </cell>
          <cell r="F67">
            <v>-6.8573679909733776E-3</v>
          </cell>
          <cell r="G67">
            <v>2.0635971857142687E-4</v>
          </cell>
          <cell r="H67">
            <v>48.822686185412763</v>
          </cell>
          <cell r="I67">
            <v>6.1686844726710408</v>
          </cell>
          <cell r="J67">
            <v>-5.8627836761194825E-2</v>
          </cell>
          <cell r="K67">
            <v>4.6098896617465337E-4</v>
          </cell>
          <cell r="L67" t="str">
            <v/>
          </cell>
          <cell r="M67">
            <v>2.2782980561636279</v>
          </cell>
          <cell r="N67" t="str">
            <v/>
          </cell>
          <cell r="O67" t="str">
            <v/>
          </cell>
          <cell r="P67">
            <v>66.454945248842478</v>
          </cell>
          <cell r="Q67">
            <v>4.868141712957307</v>
          </cell>
          <cell r="R67">
            <v>-3.2499920960373574E-2</v>
          </cell>
          <cell r="S67">
            <v>3.2331628457557234E-4</v>
          </cell>
        </row>
        <row r="68">
          <cell r="B68">
            <v>2051</v>
          </cell>
          <cell r="D68">
            <v>94.677700060891723</v>
          </cell>
          <cell r="E68">
            <v>3.7221362489532783</v>
          </cell>
          <cell r="F68">
            <v>-6.8838054862641381E-3</v>
          </cell>
          <cell r="G68">
            <v>2.0715530575518543E-4</v>
          </cell>
          <cell r="H68">
            <v>49.002066005970399</v>
          </cell>
          <cell r="I68">
            <v>6.191348885472542</v>
          </cell>
          <cell r="J68">
            <v>-5.8843241763655484E-2</v>
          </cell>
          <cell r="K68">
            <v>4.6268268941055676E-4</v>
          </cell>
          <cell r="L68" t="str">
            <v/>
          </cell>
          <cell r="M68">
            <v>2.2782980561636279</v>
          </cell>
          <cell r="N68" t="str">
            <v/>
          </cell>
          <cell r="O68" t="str">
            <v/>
          </cell>
          <cell r="P68">
            <v>66.706706861824202</v>
          </cell>
          <cell r="Q68">
            <v>4.8858821631753484</v>
          </cell>
          <cell r="R68">
            <v>-3.2619881683244457E-2</v>
          </cell>
          <cell r="S68">
            <v>3.245208100981624E-4</v>
          </cell>
        </row>
        <row r="69">
          <cell r="B69">
            <v>2052</v>
          </cell>
          <cell r="D69">
            <v>95.043801138850313</v>
          </cell>
          <cell r="E69">
            <v>3.7365290583706399</v>
          </cell>
          <cell r="F69">
            <v>-6.9104238832822075E-3</v>
          </cell>
          <cell r="G69">
            <v>2.0795633683951722E-4</v>
          </cell>
          <cell r="H69">
            <v>49.182673254430185</v>
          </cell>
          <cell r="I69">
            <v>6.2141683822326073</v>
          </cell>
          <cell r="J69">
            <v>-5.9060120700639353E-2</v>
          </cell>
          <cell r="K69">
            <v>4.643880021505183E-4</v>
          </cell>
          <cell r="L69" t="str">
            <v/>
          </cell>
          <cell r="M69">
            <v>2.2782980561636279</v>
          </cell>
          <cell r="N69" t="str">
            <v/>
          </cell>
          <cell r="O69" t="str">
            <v/>
          </cell>
          <cell r="P69">
            <v>66.960191183790172</v>
          </cell>
          <cell r="Q69">
            <v>4.9037440045483534</v>
          </cell>
          <cell r="R69">
            <v>-3.2740663251726386E-2</v>
          </cell>
          <cell r="S69">
            <v>3.2573357773087793E-4</v>
          </cell>
        </row>
        <row r="70">
          <cell r="B70">
            <v>2053</v>
          </cell>
          <cell r="D70">
            <v>95.412407307273881</v>
          </cell>
          <cell r="E70">
            <v>3.7510203523099173</v>
          </cell>
          <cell r="F70">
            <v>-6.9372244198693134E-3</v>
          </cell>
          <cell r="G70">
            <v>2.0876284907496358E-4</v>
          </cell>
          <cell r="H70">
            <v>49.364516329614517</v>
          </cell>
          <cell r="I70">
            <v>6.2371440241317924</v>
          </cell>
          <cell r="J70">
            <v>-5.9278483657719865E-2</v>
          </cell>
          <cell r="K70">
            <v>4.6610498369710701E-4</v>
          </cell>
          <cell r="L70" t="str">
            <v/>
          </cell>
          <cell r="M70">
            <v>2.2782980561636279</v>
          </cell>
          <cell r="N70" t="str">
            <v/>
          </cell>
          <cell r="O70" t="str">
            <v/>
          </cell>
          <cell r="P70">
            <v>67.215410002582871</v>
          </cell>
          <cell r="Q70">
            <v>4.9217280677098323</v>
          </cell>
          <cell r="R70">
            <v>-3.2862271282553736E-2</v>
          </cell>
          <cell r="S70">
            <v>3.2695464387134401E-4</v>
          </cell>
        </row>
        <row r="71">
          <cell r="B71">
            <v>2054</v>
          </cell>
          <cell r="D71">
            <v>95.783535707543948</v>
          </cell>
          <cell r="E71">
            <v>3.7656108046632477</v>
          </cell>
          <cell r="F71">
            <v>-6.96420834233727E-3</v>
          </cell>
          <cell r="G71">
            <v>2.0957487996695756E-4</v>
          </cell>
          <cell r="H71">
            <v>49.547603687815759</v>
          </cell>
          <cell r="I71">
            <v>6.2602768796119124</v>
          </cell>
          <cell r="J71">
            <v>-5.9498340789482268E-2</v>
          </cell>
          <cell r="K71">
            <v>4.6783371389552973E-4</v>
          </cell>
          <cell r="L71" t="str">
            <v/>
          </cell>
          <cell r="M71">
            <v>2.2782980561636279</v>
          </cell>
          <cell r="N71" t="str">
            <v/>
          </cell>
          <cell r="O71" t="str">
            <v/>
          </cell>
          <cell r="P71">
            <v>67.472375186704539</v>
          </cell>
          <cell r="Q71">
            <v>4.9398351889770131</v>
          </cell>
          <cell r="R71">
            <v>-3.2984711430894084E-2</v>
          </cell>
          <cell r="S71">
            <v>3.2818406530309391E-4</v>
          </cell>
        </row>
        <row r="72">
          <cell r="B72">
            <v>2055</v>
          </cell>
          <cell r="D72">
            <v>96.157203598333993</v>
          </cell>
          <cell r="E72">
            <v>3.7803010939339519</v>
          </cell>
          <cell r="F72">
            <v>-6.9913769055259282E-3</v>
          </cell>
          <cell r="G72">
            <v>2.1039246727756734E-4</v>
          </cell>
          <cell r="H72">
            <v>49.731943843189455</v>
          </cell>
          <cell r="I72">
            <v>6.283568024425719</v>
          </cell>
          <cell r="J72">
            <v>-5.9719702319995745E-2</v>
          </cell>
          <cell r="K72">
            <v>4.6957427313734353E-4</v>
          </cell>
          <cell r="L72" t="str">
            <v/>
          </cell>
          <cell r="M72">
            <v>2.2782980561636279</v>
          </cell>
          <cell r="N72" t="str">
            <v/>
          </cell>
          <cell r="O72" t="str">
            <v/>
          </cell>
          <cell r="P72">
            <v>67.731098685869114</v>
          </cell>
          <cell r="Q72">
            <v>4.9580662103897168</v>
          </cell>
          <cell r="R72">
            <v>-3.3107989390611159E-2</v>
          </cell>
          <cell r="S72">
            <v>3.2942189919820872E-4</v>
          </cell>
        </row>
        <row r="73">
          <cell r="B73">
            <v>2056</v>
          </cell>
          <cell r="D73">
            <v>96.533428356411918</v>
          </cell>
          <cell r="E73">
            <v>3.7950919032680916</v>
          </cell>
          <cell r="F73">
            <v>-7.0187313728615267E-3</v>
          </cell>
          <cell r="G73">
            <v>2.112156490272526E-4</v>
          </cell>
          <cell r="H73">
            <v>49.917545368150243</v>
          </cell>
          <cell r="I73">
            <v>6.3070185416869293</v>
          </cell>
          <cell r="J73">
            <v>-5.9942578543288869E-2</v>
          </cell>
          <cell r="K73">
            <v>4.7132674236419398E-4</v>
          </cell>
          <cell r="L73" t="str">
            <v/>
          </cell>
          <cell r="M73">
            <v>2.2782980561636279</v>
          </cell>
          <cell r="N73" t="str">
            <v/>
          </cell>
          <cell r="O73" t="str">
            <v/>
          </cell>
          <cell r="P73">
            <v>67.991592531557785</v>
          </cell>
          <cell r="Q73">
            <v>4.9764219797495244</v>
          </cell>
          <cell r="R73">
            <v>-3.3232110894529612E-2</v>
          </cell>
          <cell r="S73">
            <v>3.3066820311997624E-4</v>
          </cell>
        </row>
        <row r="74">
          <cell r="B74">
            <v>2057</v>
          </cell>
          <cell r="D74">
            <v>96.91222747744834</v>
          </cell>
          <cell r="E74">
            <v>3.8099839204862382</v>
          </cell>
          <cell r="F74">
            <v>-7.0462730164154519E-3</v>
          </cell>
          <cell r="G74">
            <v>2.1204446349663269E-4</v>
          </cell>
          <cell r="H74">
            <v>50.104416893770598</v>
          </cell>
          <cell r="I74">
            <v>6.3306295219206028</v>
          </cell>
          <cell r="J74">
            <v>-6.016697982382839E-2</v>
          </cell>
          <cell r="K74">
            <v>4.730912030715802E-4</v>
          </cell>
          <cell r="L74" t="str">
            <v/>
          </cell>
          <cell r="M74">
            <v>2.2782980561636279</v>
          </cell>
          <cell r="N74" t="str">
            <v/>
          </cell>
          <cell r="O74" t="str">
            <v/>
          </cell>
          <cell r="P74">
            <v>68.253868837578608</v>
          </cell>
          <cell r="Q74">
            <v>4.9949033506592047</v>
          </cell>
          <cell r="R74">
            <v>-3.3357081714701663E-2</v>
          </cell>
          <cell r="S74">
            <v>3.3192303502556825E-4</v>
          </cell>
        </row>
        <row r="75">
          <cell r="B75">
            <v>2058</v>
          </cell>
          <cell r="D75">
            <v>97.29361857683007</v>
          </cell>
          <cell r="E75">
            <v>3.8249778381154567</v>
          </cell>
          <cell r="F75">
            <v>-7.0740031169633927E-3</v>
          </cell>
          <cell r="G75">
            <v>2.128789492282666E-4</v>
          </cell>
          <cell r="H75">
            <v>50.292567110182091</v>
          </cell>
          <cell r="I75">
            <v>6.3544020631138425</v>
          </cell>
          <cell r="J75">
            <v>-6.0392916597001113E-2</v>
          </cell>
          <cell r="K75">
            <v>4.7486773731264352E-4</v>
          </cell>
          <cell r="L75" t="str">
            <v/>
          </cell>
          <cell r="M75">
            <v>2.2782980561636279</v>
          </cell>
          <cell r="N75" t="str">
            <v/>
          </cell>
          <cell r="O75" t="str">
            <v/>
          </cell>
          <cell r="P75">
            <v>68.517939800629875</v>
          </cell>
          <cell r="Q75">
            <v>5.013511182562401</v>
          </cell>
          <cell r="R75">
            <v>-3.3482907662675476E-2</v>
          </cell>
          <cell r="S75">
            <v>3.3318645326873512E-4</v>
          </cell>
        </row>
        <row r="76">
          <cell r="B76">
            <v>2059</v>
          </cell>
          <cell r="D76">
            <v>97.677619390479308</v>
          </cell>
          <cell r="E76">
            <v>3.8400743534215125</v>
          </cell>
          <cell r="F76">
            <v>-7.1019229640448961E-3</v>
          </cell>
          <cell r="G76">
            <v>2.1371914502844541E-4</v>
          </cell>
          <cell r="H76">
            <v>50.4820047669796</v>
          </cell>
          <cell r="I76">
            <v>6.3783372707668589</v>
          </cell>
          <cell r="J76">
            <v>-6.0620399369599266E-2</v>
          </cell>
          <cell r="K76">
            <v>4.7665642770198385E-4</v>
          </cell>
          <cell r="L76" t="str">
            <v/>
          </cell>
          <cell r="M76">
            <v>2.2782980561636279</v>
          </cell>
          <cell r="N76" t="str">
            <v/>
          </cell>
          <cell r="O76" t="str">
            <v/>
          </cell>
          <cell r="P76">
            <v>68.783817700867246</v>
          </cell>
          <cell r="Q76">
            <v>5.0322463407836064</v>
          </cell>
          <cell r="R76">
            <v>-3.3609594589765437E-2</v>
          </cell>
          <cell r="S76">
            <v>3.3445851660251992E-4</v>
          </cell>
        </row>
        <row r="77">
          <cell r="B77">
            <v>2060</v>
          </cell>
          <cell r="D77">
            <v>98.064247775678467</v>
          </cell>
          <cell r="E77">
            <v>3.8552741684412957</v>
          </cell>
          <cell r="F77">
            <v>-7.1300338560233425E-3</v>
          </cell>
          <cell r="G77">
            <v>2.1456508996899691E-4</v>
          </cell>
          <cell r="H77">
            <v>50.672738673628103</v>
          </cell>
          <cell r="I77">
            <v>6.4024362579443812</v>
          </cell>
          <cell r="J77">
            <v>-6.0849438720309026E-2</v>
          </cell>
          <cell r="K77">
            <v>4.784573574195015E-4</v>
          </cell>
          <cell r="L77" t="str">
            <v/>
          </cell>
          <cell r="M77">
            <v>2.2782980561636279</v>
          </cell>
          <cell r="N77" t="str">
            <v/>
          </cell>
          <cell r="O77" t="str">
            <v/>
          </cell>
          <cell r="P77">
            <v>69.05151490247475</v>
          </cell>
          <cell r="Q77">
            <v>5.0511096965683961</v>
          </cell>
          <cell r="R77">
            <v>-3.3737148387324237E-2</v>
          </cell>
          <cell r="S77">
            <v>3.3573928418199049E-4</v>
          </cell>
        </row>
        <row r="78">
          <cell r="B78">
            <v>2061</v>
          </cell>
          <cell r="D78">
            <v>98.453521711900507</v>
          </cell>
          <cell r="E78">
            <v>3.8705779900154664</v>
          </cell>
          <cell r="F78">
            <v>-7.158337100146313E-3</v>
          </cell>
          <cell r="G78">
            <v>2.1541682338910257E-4</v>
          </cell>
          <cell r="H78">
            <v>50.864777699872455</v>
          </cell>
          <cell r="I78">
            <v>6.4267001453274242</v>
          </cell>
          <cell r="J78">
            <v>-6.1080045300202557E-2</v>
          </cell>
          <cell r="K78">
            <v>4.8027061021426522E-4</v>
          </cell>
          <cell r="L78" t="str">
            <v/>
          </cell>
          <cell r="M78">
            <v>2.2782980561636279</v>
          </cell>
          <cell r="N78" t="str">
            <v/>
          </cell>
          <cell r="O78" t="str">
            <v/>
          </cell>
          <cell r="P78">
            <v>69.321043854239889</v>
          </cell>
          <cell r="Q78">
            <v>5.0701021271239544</v>
          </cell>
          <cell r="R78">
            <v>-3.3865574987016894E-2</v>
          </cell>
          <cell r="S78">
            <v>3.370288155669902E-4</v>
          </cell>
        </row>
        <row r="79">
          <cell r="B79">
            <v>2062</v>
          </cell>
          <cell r="D79">
            <v>98.845459301645036</v>
          </cell>
          <cell r="E79">
            <v>3.8859865298213263</v>
          </cell>
          <cell r="F79">
            <v>-7.1868340126063895E-3</v>
          </cell>
          <cell r="G79">
            <v>2.1627438489712675E-4</v>
          </cell>
          <cell r="H79">
            <v>51.058130776149746</v>
          </cell>
          <cell r="I79">
            <v>6.4511300612653812</v>
          </cell>
          <cell r="J79">
            <v>-6.1312229833233166E-2</v>
          </cell>
          <cell r="K79">
            <v>4.820962704084065E-4</v>
          </cell>
          <cell r="L79" t="str">
            <v/>
          </cell>
          <cell r="M79">
            <v>2.2782980561636279</v>
          </cell>
          <cell r="N79" t="str">
            <v/>
          </cell>
          <cell r="O79" t="str">
            <v/>
          </cell>
          <cell r="P79">
            <v>69.592417090132443</v>
          </cell>
          <cell r="Q79">
            <v>5.0892245156598523</v>
          </cell>
          <cell r="R79">
            <v>-3.3994880361096477E-2</v>
          </cell>
          <cell r="S79">
            <v>3.3832717072490776E-4</v>
          </cell>
        </row>
        <row r="80">
          <cell r="B80">
            <v>2063</v>
          </cell>
          <cell r="D80">
            <v>99.240078771280324</v>
          </cell>
          <cell r="E80">
            <v>3.901500504405917</v>
          </cell>
          <cell r="F80">
            <v>-7.2155259186023613E-3</v>
          </cell>
          <cell r="G80">
            <v>2.1713781437245907E-4</v>
          </cell>
          <cell r="H80">
            <v>51.252806894004699</v>
          </cell>
          <cell r="I80">
            <v>6.4757271418285249</v>
          </cell>
          <cell r="J80">
            <v>-6.1546003116734166E-2</v>
          </cell>
          <cell r="K80">
            <v>4.8393442290104138E-4</v>
          </cell>
          <cell r="L80" t="str">
            <v/>
          </cell>
          <cell r="M80">
            <v>2.2782980561636279</v>
          </cell>
          <cell r="N80" t="str">
            <v/>
          </cell>
          <cell r="O80" t="str">
            <v/>
          </cell>
          <cell r="P80">
            <v>69.865647229887415</v>
          </cell>
          <cell r="Q80">
            <v>5.1084777514291329</v>
          </cell>
          <cell r="R80">
            <v>-3.4125070522681981E-2</v>
          </cell>
          <cell r="S80">
            <v>3.3963441003346601E-4</v>
          </cell>
        </row>
        <row r="81">
          <cell r="B81">
            <v>2064</v>
          </cell>
          <cell r="D81">
            <v>99.63739847189062</v>
          </cell>
          <cell r="E81">
            <v>3.9171206352193368</v>
          </cell>
          <cell r="F81">
            <v>-7.2444141524008483E-3</v>
          </cell>
          <cell r="G81">
            <v>2.1800715196736839E-4</v>
          </cell>
          <cell r="H81">
            <v>51.448815106507723</v>
          </cell>
          <cell r="I81">
            <v>6.5004925308608206</v>
          </cell>
          <cell r="J81">
            <v>-6.1781376021920902E-2</v>
          </cell>
          <cell r="K81">
            <v>4.8578515317221821E-4</v>
          </cell>
          <cell r="L81" t="str">
            <v/>
          </cell>
          <cell r="M81">
            <v>2.2782980561636279</v>
          </cell>
          <cell r="N81" t="str">
            <v/>
          </cell>
          <cell r="O81" t="str">
            <v/>
          </cell>
          <cell r="P81">
            <v>70.140746979591825</v>
          </cell>
          <cell r="Q81">
            <v>5.1278627297696602</v>
          </cell>
          <cell r="R81">
            <v>-3.4256151526037865E-2</v>
          </cell>
          <cell r="S81">
            <v>3.4095059428352947E-4</v>
          </cell>
        </row>
        <row r="82">
          <cell r="B82">
            <v>2065</v>
          </cell>
          <cell r="D82">
            <v>100.03743688012975</v>
          </cell>
          <cell r="E82">
            <v>3.9328476486482939</v>
          </cell>
          <cell r="F82">
            <v>-7.2735000573983478E-3</v>
          </cell>
          <cell r="G82">
            <v>2.1888243810887055E-4</v>
          </cell>
          <cell r="H82">
            <v>51.646164528675989</v>
          </cell>
          <cell r="I82">
            <v>6.5254273800331246</v>
          </cell>
          <cell r="J82">
            <v>-6.2018359494396325E-2</v>
          </cell>
          <cell r="K82">
            <v>4.8764854728689303E-4</v>
          </cell>
          <cell r="L82" t="str">
            <v/>
          </cell>
          <cell r="M82">
            <v>2.2782980561636279</v>
          </cell>
          <cell r="N82" t="str">
            <v/>
          </cell>
          <cell r="O82" t="str">
            <v/>
          </cell>
          <cell r="P82">
            <v>70.417729132275667</v>
          </cell>
          <cell r="Q82">
            <v>5.1473803521457544</v>
          </cell>
          <cell r="R82">
            <v>-3.4388129466855627E-2</v>
          </cell>
          <cell r="S82">
            <v>3.4227578468193175E-4</v>
          </cell>
        </row>
        <row r="83">
          <cell r="B83">
            <v>2066</v>
          </cell>
          <cell r="D83">
            <v>100.44021259908016</v>
          </cell>
          <cell r="E83">
            <v>3.9486822760498823</v>
          </cell>
          <cell r="F83">
            <v>-7.3027849861837073E-3</v>
          </cell>
          <cell r="G83">
            <v>2.1976371350060771E-4</v>
          </cell>
          <cell r="H83">
            <v>51.844864337897192</v>
          </cell>
          <cell r="I83">
            <v>6.5505328488967312</v>
          </cell>
          <cell r="J83">
            <v>-6.2256964554659927E-2</v>
          </cell>
          <cell r="K83">
            <v>4.8952469189893113E-4</v>
          </cell>
          <cell r="L83" t="str">
            <v/>
          </cell>
          <cell r="M83">
            <v>2.2782980561636279</v>
          </cell>
          <cell r="N83" t="str">
            <v/>
          </cell>
          <cell r="O83" t="str">
            <v/>
          </cell>
          <cell r="P83">
            <v>70.696606568506681</v>
          </cell>
          <cell r="Q83">
            <v>5.1670315261901099</v>
          </cell>
          <cell r="R83">
            <v>-3.4521010482537237E-2</v>
          </cell>
          <cell r="S83">
            <v>3.4361004285432106E-4</v>
          </cell>
        </row>
        <row r="84">
          <cell r="B84">
            <v>2067</v>
          </cell>
          <cell r="D84">
            <v>100.84574435911823</v>
          </cell>
          <cell r="E84">
            <v>3.9646252537855977</v>
          </cell>
          <cell r="F84">
            <v>-7.3322703006010294E-3</v>
          </cell>
          <cell r="G84">
            <v>2.2065101912474195E-4</v>
          </cell>
          <cell r="H84">
            <v>52.044923774356477</v>
          </cell>
          <cell r="I84">
            <v>6.5758101049373145</v>
          </cell>
          <cell r="J84">
            <v>-6.2497202298620359E-2</v>
          </cell>
          <cell r="K84">
            <v>4.9141367425513751E-4</v>
          </cell>
          <cell r="L84" t="str">
            <v/>
          </cell>
          <cell r="M84">
            <v>2.2782980561636279</v>
          </cell>
          <cell r="N84" t="str">
            <v/>
          </cell>
          <cell r="O84" t="str">
            <v/>
          </cell>
          <cell r="P84">
            <v>70.977392256989532</v>
          </cell>
          <cell r="Q84">
            <v>5.1868171657460111</v>
          </cell>
          <cell r="R84">
            <v>-3.4654800752480605E-2</v>
          </cell>
          <cell r="S84">
            <v>3.449534308480268E-4</v>
          </cell>
        </row>
        <row r="85">
          <cell r="B85">
            <v>2068</v>
          </cell>
          <cell r="D85">
            <v>101.25405101878509</v>
          </cell>
          <cell r="E85">
            <v>3.9806773232555743</v>
          </cell>
          <cell r="F85">
            <v>-7.3619573718129976E-3</v>
          </cell>
          <cell r="G85">
            <v>2.2154439624386048E-4</v>
          </cell>
          <cell r="H85">
            <v>52.246352141466033</v>
          </cell>
          <cell r="I85">
            <v>6.6012603236292025</v>
          </cell>
          <cell r="J85">
            <v>-6.2739083898111322E-2</v>
          </cell>
          <cell r="K85">
            <v>4.9331558219931418E-4</v>
          </cell>
          <cell r="L85" t="str">
            <v/>
          </cell>
          <cell r="M85">
            <v>2.2782980561636279</v>
          </cell>
          <cell r="N85" t="str">
            <v/>
          </cell>
          <cell r="O85" t="str">
            <v/>
          </cell>
          <cell r="P85">
            <v>71.260099255168754</v>
          </cell>
          <cell r="Q85">
            <v>5.2067381909098218</v>
          </cell>
          <cell r="R85">
            <v>-3.4789506498366887E-2</v>
          </cell>
          <cell r="S85">
            <v>3.4630601113494464E-4</v>
          </cell>
        </row>
        <row r="86">
          <cell r="B86">
            <v>2069</v>
          </cell>
          <cell r="D86">
            <v>101.66515156566378</v>
          </cell>
          <cell r="E86">
            <v>3.9968392309330687</v>
          </cell>
          <cell r="F86">
            <v>-7.3918475803646374E-3</v>
          </cell>
          <cell r="G86">
            <v>2.2244388640289483E-4</v>
          </cell>
          <cell r="H86">
            <v>52.449158806297739</v>
          </cell>
          <cell r="I86">
            <v>6.6268846884900476</v>
          </cell>
          <cell r="J86">
            <v>-6.2982620601411105E-2</v>
          </cell>
          <cell r="K86">
            <v>4.9523050417634438E-4</v>
          </cell>
          <cell r="L86" t="str">
            <v/>
          </cell>
          <cell r="M86">
            <v>2.2782980561636279</v>
          </cell>
          <cell r="N86" t="str">
            <v/>
          </cell>
          <cell r="O86" t="str">
            <v/>
          </cell>
          <cell r="P86">
            <v>71.544740709836006</v>
          </cell>
          <cell r="Q86">
            <v>5.2267955280737759</v>
          </cell>
          <cell r="R86">
            <v>-3.4925133984449852E-2</v>
          </cell>
          <cell r="S86">
            <v>3.476678466144416E-4</v>
          </cell>
        </row>
        <row r="87">
          <cell r="B87">
            <v>2070</v>
          </cell>
          <cell r="D87">
            <v>102.079065117262</v>
          </cell>
          <cell r="E87">
            <v>4.0131117283991671</v>
          </cell>
          <cell r="F87">
            <v>-7.4219423162475168E-3</v>
          </cell>
          <cell r="G87">
            <v>2.233495314310525E-4</v>
          </cell>
          <cell r="H87">
            <v>52.653353200018785</v>
          </cell>
          <cell r="I87">
            <v>6.6526843911358613</v>
          </cell>
          <cell r="J87">
            <v>-6.3227823733765703E-2</v>
          </cell>
          <cell r="K87">
            <v>4.9715852923630619E-4</v>
          </cell>
          <cell r="L87" t="str">
            <v/>
          </cell>
          <cell r="M87">
            <v>2.2782980561636279</v>
          </cell>
          <cell r="N87" t="str">
            <v/>
          </cell>
          <cell r="O87" t="str">
            <v/>
          </cell>
          <cell r="P87">
            <v>71.831329857741423</v>
          </cell>
          <cell r="Q87">
            <v>5.2469901099690563</v>
          </cell>
          <cell r="R87">
            <v>-3.5061689517847147E-2</v>
          </cell>
          <cell r="S87">
            <v>3.49039000616281E-4</v>
          </cell>
        </row>
        <row r="88">
          <cell r="B88">
            <v>2071</v>
          </cell>
          <cell r="D88">
            <v>102.49581092190149</v>
          </cell>
          <cell r="E88">
            <v>4.0294955723777406</v>
          </cell>
          <cell r="F88">
            <v>-7.4522429789643952E-3</v>
          </cell>
          <cell r="G88">
            <v>2.2426137344376255E-4</v>
          </cell>
          <cell r="H88">
            <v>52.858944818330322</v>
          </cell>
          <cell r="I88">
            <v>6.6786606313364381</v>
          </cell>
          <cell r="J88">
            <v>-6.3474704697915524E-2</v>
          </cell>
          <cell r="K88">
            <v>4.9909974703861405E-4</v>
          </cell>
          <cell r="L88" t="str">
            <v/>
          </cell>
          <cell r="M88">
            <v>2.2782980561636279</v>
          </cell>
          <cell r="N88" t="str">
            <v/>
          </cell>
          <cell r="O88" t="str">
            <v/>
          </cell>
          <cell r="P88">
            <v>72.119880026209245</v>
          </cell>
          <cell r="Q88">
            <v>5.2673228757091719</v>
          </cell>
          <cell r="R88">
            <v>-3.5199179448833696E-2</v>
          </cell>
          <cell r="S88">
            <v>3.5041953690356819E-4</v>
          </cell>
        </row>
        <row r="89">
          <cell r="B89">
            <v>2072</v>
          </cell>
          <cell r="D89">
            <v>102.91540835961285</v>
          </cell>
          <cell r="E89">
            <v>4.0459915247706357</v>
          </cell>
          <cell r="F89">
            <v>-7.4827509775942953E-3</v>
          </cell>
          <cell r="G89">
            <v>2.2517945484463396E-4</v>
          </cell>
          <cell r="H89">
            <v>53.065943221908896</v>
          </cell>
          <cell r="I89">
            <v>6.7048146170711345</v>
          </cell>
          <cell r="J89">
            <v>-6.3723274974625502E-2</v>
          </cell>
          <cell r="K89">
            <v>5.0105424785618676E-4</v>
          </cell>
          <cell r="L89" t="str">
            <v/>
          </cell>
          <cell r="M89">
            <v>2.2782980561636279</v>
          </cell>
          <cell r="N89" t="str">
            <v/>
          </cell>
          <cell r="O89" t="str">
            <v/>
          </cell>
          <cell r="P89">
            <v>72.410404633757537</v>
          </cell>
          <cell r="Q89">
            <v>5.2877947708336297</v>
          </cell>
          <cell r="R89">
            <v>-3.5337610171136853E-2</v>
          </cell>
          <cell r="S89">
            <v>3.5180951967571448E-4</v>
          </cell>
        </row>
        <row r="90">
          <cell r="B90">
            <v>2073</v>
          </cell>
          <cell r="D90">
            <v>103.33787694303676</v>
          </cell>
          <cell r="E90">
            <v>4.0626003526931012</v>
          </cell>
          <cell r="F90">
            <v>-7.5134677308580245E-3</v>
          </cell>
          <cell r="G90">
            <v>2.2610381832742721E-4</v>
          </cell>
          <cell r="H90">
            <v>53.274358036851154</v>
          </cell>
          <cell r="I90">
            <v>6.7311475645850507</v>
          </cell>
          <cell r="J90">
            <v>-6.3973546123219135E-2</v>
          </cell>
          <cell r="K90">
            <v>5.0302212257964727E-4</v>
          </cell>
          <cell r="L90" t="str">
            <v/>
          </cell>
          <cell r="M90">
            <v>2.2782980561636279</v>
          </cell>
          <cell r="N90" t="str">
            <v/>
          </cell>
          <cell r="O90" t="str">
            <v/>
          </cell>
          <cell r="P90">
            <v>72.702917190722047</v>
          </cell>
          <cell r="Q90">
            <v>5.308406747351901</v>
          </cell>
          <cell r="R90">
            <v>-3.5476988122233891E-2</v>
          </cell>
          <cell r="S90">
            <v>3.5320901357142399E-4</v>
          </cell>
        </row>
        <row r="91">
          <cell r="B91">
            <v>2074</v>
          </cell>
          <cell r="D91">
            <v>103.76323631833162</v>
          </cell>
          <cell r="E91">
            <v>4.0793228285094632</v>
          </cell>
          <cell r="F91">
            <v>-7.544394667184165E-3</v>
          </cell>
          <cell r="G91">
            <v>2.270345068780402E-4</v>
          </cell>
          <cell r="H91">
            <v>53.484198955121478</v>
          </cell>
          <cell r="I91">
            <v>6.7576606984455951</v>
          </cell>
          <cell r="J91">
            <v>-6.4225529782115959E-2</v>
          </cell>
          <cell r="K91">
            <v>5.0500346272154778E-4</v>
          </cell>
          <cell r="L91" t="str">
            <v/>
          </cell>
          <cell r="M91">
            <v>2.2782980561636279</v>
          </cell>
          <cell r="N91" t="str">
            <v/>
          </cell>
          <cell r="O91" t="str">
            <v/>
          </cell>
          <cell r="P91">
            <v>72.997431299884795</v>
          </cell>
          <cell r="Q91">
            <v>5.3291597637876968</v>
          </cell>
          <cell r="R91">
            <v>-3.5617319783651236E-2</v>
          </cell>
          <cell r="S91">
            <v>3.5461808367169838E-4</v>
          </cell>
        </row>
        <row r="92">
          <cell r="B92">
            <v>2075</v>
          </cell>
          <cell r="D92">
            <v>104.19150626608696</v>
          </cell>
          <cell r="E92">
            <v>4.0961597298690471</v>
          </cell>
          <cell r="F92">
            <v>-7.5755332247754896E-3</v>
          </cell>
          <cell r="G92">
            <v>2.2797156377650683E-4</v>
          </cell>
          <cell r="H92">
            <v>53.695475735002638</v>
          </cell>
          <cell r="I92">
            <v>6.7843552515994165</v>
          </cell>
          <cell r="J92">
            <v>-6.447923766937276E-2</v>
          </cell>
          <cell r="K92">
            <v>5.0699836042062654E-4</v>
          </cell>
          <cell r="L92" t="str">
            <v/>
          </cell>
          <cell r="M92">
            <v>2.2782980561636279</v>
          </cell>
          <cell r="N92" t="str">
            <v/>
          </cell>
          <cell r="O92" t="str">
            <v/>
          </cell>
          <cell r="P92">
            <v>73.293960657106311</v>
          </cell>
          <cell r="Q92">
            <v>5.3500547852235432</v>
          </cell>
          <cell r="R92">
            <v>-3.5758611681265956E-2</v>
          </cell>
          <cell r="S92">
            <v>3.5603679550286422E-4</v>
          </cell>
        </row>
        <row r="93">
          <cell r="B93">
            <v>2076</v>
          </cell>
          <cell r="D93">
            <v>104.62270670224333</v>
          </cell>
          <cell r="E93">
            <v>4.1131118397423316</v>
          </cell>
          <cell r="F93">
            <v>-7.606884851675844E-3</v>
          </cell>
          <cell r="G93">
            <v>2.2891503259900986E-4</v>
          </cell>
          <cell r="H93">
            <v>53.908198201549631</v>
          </cell>
          <cell r="I93">
            <v>6.8112324654297529</v>
          </cell>
          <cell r="J93">
            <v>-6.4734681583228579E-2</v>
          </cell>
          <cell r="K93">
            <v>5.090069084460919E-4</v>
          </cell>
          <cell r="L93" t="str">
            <v/>
          </cell>
          <cell r="M93">
            <v>2.2782980561636279</v>
          </cell>
          <cell r="N93" t="str">
            <v/>
          </cell>
          <cell r="O93" t="str">
            <v/>
          </cell>
          <cell r="P93">
            <v>73.592519051962753</v>
          </cell>
          <cell r="Q93">
            <v>5.371092783345655</v>
          </cell>
          <cell r="R93">
            <v>-3.5900870385609213E-2</v>
          </cell>
          <cell r="S93">
            <v>3.5746521503961964E-4</v>
          </cell>
        </row>
        <row r="94">
          <cell r="B94">
            <v>2077</v>
          </cell>
          <cell r="D94">
            <v>105.05685767901856</v>
          </cell>
          <cell r="E94">
            <v>4.1301799464573694</v>
          </cell>
          <cell r="F94">
            <v>-7.6384510058374912E-3</v>
          </cell>
          <cell r="G94">
            <v>2.2986495721990732E-4</v>
          </cell>
          <cell r="H94">
            <v>54.122376247046617</v>
          </cell>
          <cell r="I94">
            <v>6.8382935898141586</v>
          </cell>
          <cell r="J94">
            <v>-6.4991873402653305E-2</v>
          </cell>
          <cell r="K94">
            <v>5.1102920020193682E-4</v>
          </cell>
          <cell r="L94" t="str">
            <v/>
          </cell>
          <cell r="M94">
            <v>2.2782980561636279</v>
          </cell>
          <cell r="N94" t="str">
            <v/>
          </cell>
          <cell r="O94" t="str">
            <v/>
          </cell>
          <cell r="P94">
            <v>73.89312036838713</v>
          </cell>
          <cell r="Q94">
            <v>5.3922747364891306</v>
          </cell>
          <cell r="R94">
            <v>-3.6044102512171841E-2</v>
          </cell>
          <cell r="S94">
            <v>3.5890340870810256E-4</v>
          </cell>
        </row>
        <row r="95">
          <cell r="B95">
            <v>2078</v>
          </cell>
          <cell r="D95">
            <v>105.49397938584022</v>
          </cell>
          <cell r="E95">
            <v>4.1473648437364403</v>
          </cell>
          <cell r="F95">
            <v>-7.6702331551889097E-3</v>
          </cell>
          <cell r="G95">
            <v>2.308213818137729E-4</v>
          </cell>
          <cell r="H95">
            <v>54.338019831466859</v>
          </cell>
          <cell r="I95">
            <v>6.8655398831826231</v>
          </cell>
          <cell r="J95">
            <v>-6.5250825087900116E-2</v>
          </cell>
          <cell r="K95">
            <v>5.1306532973128215E-4</v>
          </cell>
          <cell r="L95" t="str">
            <v/>
          </cell>
          <cell r="M95">
            <v>2.2782980561636279</v>
          </cell>
          <cell r="N95" t="str">
            <v/>
          </cell>
          <cell r="O95" t="str">
            <v/>
          </cell>
          <cell r="P95">
            <v>74.19577858531494</v>
          </cell>
          <cell r="Q95">
            <v>5.4136016296834413</v>
          </cell>
          <cell r="R95">
            <v>-3.6188314721711932E-2</v>
          </cell>
          <cell r="S95">
            <v>3.603514433889799E-4</v>
          </cell>
        </row>
        <row r="96">
          <cell r="B96">
            <v>2079</v>
          </cell>
          <cell r="D96">
            <v>105.93409215028426</v>
          </cell>
          <cell r="E96">
            <v>4.1646673307329625</v>
          </cell>
          <cell r="F96">
            <v>-7.7022327777030416E-3</v>
          </cell>
          <cell r="G96">
            <v>2.3178435085744983E-4</v>
          </cell>
          <cell r="H96">
            <v>54.555138982935908</v>
          </cell>
          <cell r="I96">
            <v>6.8929726125760924</v>
          </cell>
          <cell r="J96">
            <v>-6.5511548681061613E-2</v>
          </cell>
          <cell r="K96">
            <v>5.1511539172075015E-4</v>
          </cell>
          <cell r="L96" t="str">
            <v/>
          </cell>
          <cell r="M96">
            <v>2.2782980561636279</v>
          </cell>
          <cell r="N96" t="str">
            <v/>
          </cell>
          <cell r="O96" t="str">
            <v/>
          </cell>
          <cell r="P96">
            <v>74.500507777334107</v>
          </cell>
          <cell r="Q96">
            <v>5.4350744546982419</v>
          </cell>
          <cell r="R96">
            <v>-3.6333513720564606E-2</v>
          </cell>
          <cell r="S96">
            <v>3.6180938642055727E-4</v>
          </cell>
        </row>
        <row r="97">
          <cell r="B97">
            <v>2080</v>
          </cell>
          <cell r="D97">
            <v>106.3772164390207</v>
          </cell>
          <cell r="E97">
            <v>4.1820882120686607</v>
          </cell>
          <cell r="F97">
            <v>-7.7344513614660496E-3</v>
          </cell>
          <cell r="G97">
            <v>2.3275390913211967E-4</v>
          </cell>
          <cell r="H97">
            <v>54.773743798197998</v>
          </cell>
          <cell r="I97">
            <v>6.9205930537053897</v>
          </cell>
          <cell r="J97">
            <v>-6.5774056306629872E-2</v>
          </cell>
          <cell r="K97">
            <v>5.1717948150486733E-4</v>
          </cell>
          <cell r="L97" t="str">
            <v/>
          </cell>
          <cell r="M97">
            <v>2.2782980561636279</v>
          </cell>
          <cell r="N97" t="str">
            <v/>
          </cell>
          <cell r="O97" t="str">
            <v/>
          </cell>
          <cell r="P97">
            <v>74.80732211533973</v>
          </cell>
          <cell r="Q97">
            <v>5.4566942100894869</v>
          </cell>
          <cell r="R97">
            <v>-3.6479706260953905E-2</v>
          </cell>
          <cell r="S97">
            <v>3.6327730560191081E-4</v>
          </cell>
        </row>
        <row r="98">
          <cell r="B98">
            <v>2081</v>
          </cell>
          <cell r="D98">
            <v>106.8233728587651</v>
          </cell>
          <cell r="E98">
            <v>4.1996282978709747</v>
          </cell>
          <cell r="F98">
            <v>-7.766890404746497E-3</v>
          </cell>
          <cell r="G98">
            <v>2.3373010172538446E-4</v>
          </cell>
          <cell r="H98">
            <v>54.993844443085543</v>
          </cell>
          <cell r="I98">
            <v>6.9484024910105493</v>
          </cell>
          <cell r="J98">
            <v>-6.6038360172060287E-2</v>
          </cell>
          <cell r="K98">
            <v>5.1925769507049874E-4</v>
          </cell>
          <cell r="L98" t="str">
            <v/>
          </cell>
          <cell r="M98">
            <v>2.2782980561636279</v>
          </cell>
          <cell r="N98" t="str">
            <v/>
          </cell>
          <cell r="O98" t="str">
            <v/>
          </cell>
          <cell r="P98">
            <v>75.116235867192898</v>
          </cell>
          <cell r="Q98">
            <v>5.4784619012458728</v>
          </cell>
          <cell r="R98">
            <v>-3.6626899141306769E-2</v>
          </cell>
          <cell r="S98">
            <v>3.6475526919604E-4</v>
          </cell>
        </row>
        <row r="99">
          <cell r="B99">
            <v>2082</v>
          </cell>
          <cell r="D99">
            <v>107.27258215723697</v>
          </cell>
          <cell r="E99">
            <v>4.2172884038107439</v>
          </cell>
          <cell r="F99">
            <v>-7.7995514160650306E-3</v>
          </cell>
          <cell r="G99">
            <v>2.3471297403336369E-4</v>
          </cell>
          <cell r="H99">
            <v>55.215451152991868</v>
          </cell>
          <cell r="I99">
            <v>6.9764022177205325</v>
          </cell>
          <cell r="J99">
            <v>-6.6304472568339198E-2</v>
          </cell>
          <cell r="K99">
            <v>5.2135012906131021E-4</v>
          </cell>
          <cell r="L99" t="str">
            <v/>
          </cell>
          <cell r="M99">
            <v>2.2782980561636279</v>
          </cell>
          <cell r="N99" t="str">
            <v/>
          </cell>
          <cell r="O99" t="str">
            <v/>
          </cell>
          <cell r="P99">
            <v>75.427263398384255</v>
          </cell>
          <cell r="Q99">
            <v>5.5003785404355865</v>
          </cell>
          <cell r="R99">
            <v>-3.6775099206569184E-2</v>
          </cell>
          <cell r="S99">
            <v>3.6624334593304196E-4</v>
          </cell>
        </row>
        <row r="100">
          <cell r="B100">
            <v>2083</v>
          </cell>
          <cell r="D100">
            <v>107.7248652241246</v>
          </cell>
          <cell r="E100">
            <v>4.2350693511401305</v>
          </cell>
          <cell r="F100">
            <v>-7.8324359142645343E-3</v>
          </cell>
          <cell r="G100">
            <v>2.3570257176280517E-4</v>
          </cell>
          <cell r="H100">
            <v>55.438574233347211</v>
          </cell>
          <cell r="I100">
            <v>7.0045935359133802</v>
          </cell>
          <cell r="J100">
            <v>-6.657240587055549E-2</v>
          </cell>
          <cell r="K100">
            <v>5.2345688078226412E-4</v>
          </cell>
          <cell r="L100" t="str">
            <v/>
          </cell>
          <cell r="M100">
            <v>2.2782980561636279</v>
          </cell>
          <cell r="N100" t="str">
            <v/>
          </cell>
          <cell r="O100" t="str">
            <v/>
          </cell>
          <cell r="P100">
            <v>75.740419172702047</v>
          </cell>
          <cell r="Q100">
            <v>5.5224451468533822</v>
          </cell>
          <cell r="R100">
            <v>-3.6924313348524501E-2</v>
          </cell>
          <cell r="S100">
            <v>3.6774160501330789E-4</v>
          </cell>
        </row>
        <row r="101">
          <cell r="B101">
            <v>2084</v>
          </cell>
          <cell r="D101">
            <v>108.18024309205643</v>
          </cell>
          <cell r="E101">
            <v>4.2529719667308132</v>
          </cell>
          <cell r="F101">
            <v>-7.8655454285807488E-3</v>
          </cell>
          <cell r="G101">
            <v>2.3669894093321058E-4</v>
          </cell>
          <cell r="H101">
            <v>55.663224060097932</v>
          </cell>
          <cell r="I101">
            <v>7.0329777565767548</v>
          </cell>
          <cell r="J101">
            <v>-6.6842172538476102E-2</v>
          </cell>
          <cell r="K101">
            <v>5.2557804820414344E-4</v>
          </cell>
          <cell r="L101" t="str">
            <v/>
          </cell>
          <cell r="M101">
            <v>2.2782980561636279</v>
          </cell>
          <cell r="N101" t="str">
            <v/>
          </cell>
          <cell r="O101" t="str">
            <v/>
          </cell>
          <cell r="P101">
            <v>76.055717752904712</v>
          </cell>
          <cell r="Q101">
            <v>5.5446627466679761</v>
          </cell>
          <cell r="R101">
            <v>-3.7074548506113914E-2</v>
          </cell>
          <cell r="S101">
            <v>3.6925011611074082E-4</v>
          </cell>
        </row>
        <row r="102">
          <cell r="B102">
            <v>2085</v>
          </cell>
          <cell r="D102">
            <v>108.63873693757918</v>
          </cell>
          <cell r="E102">
            <v>4.2709970831124391</v>
          </cell>
          <cell r="F102">
            <v>-7.8988814987133969E-3</v>
          </cell>
          <cell r="G102">
            <v>2.3770212787897554E-4</v>
          </cell>
          <cell r="H102">
            <v>55.889411080189113</v>
          </cell>
          <cell r="I102">
            <v>7.0615561996689147</v>
          </cell>
          <cell r="J102">
            <v>-6.711378511712543E-2</v>
          </cell>
          <cell r="K102">
            <v>5.2771372996810817E-4</v>
          </cell>
          <cell r="L102" t="str">
            <v/>
          </cell>
          <cell r="M102">
            <v>2.2782980561636279</v>
          </cell>
          <cell r="N102" t="str">
            <v/>
          </cell>
          <cell r="O102" t="str">
            <v/>
          </cell>
          <cell r="P102">
            <v>76.37317380139811</v>
          </cell>
          <cell r="Q102">
            <v>5.5670323730697682</v>
          </cell>
          <cell r="R102">
            <v>-3.7225811665759181E-2</v>
          </cell>
          <cell r="S102">
            <v>3.70768949375996E-4</v>
          </cell>
        </row>
        <row r="103">
          <cell r="B103">
            <v>2086</v>
          </cell>
          <cell r="D103">
            <v>109.10036808214265</v>
          </cell>
          <cell r="E103">
            <v>4.2891455385113382</v>
          </cell>
          <cell r="F103">
            <v>-7.932445674897785E-3</v>
          </cell>
          <cell r="G103">
            <v>2.387121792515443E-4</v>
          </cell>
          <cell r="H103">
            <v>56.117145812050197</v>
          </cell>
          <cell r="I103">
            <v>7.0903301941800789</v>
          </cell>
          <cell r="J103">
            <v>-6.7387256237368603E-2</v>
          </cell>
          <cell r="K103">
            <v>5.2986402539028157E-4</v>
          </cell>
          <cell r="L103" t="str">
            <v/>
          </cell>
          <cell r="M103">
            <v>2.2782980561636279</v>
          </cell>
          <cell r="N103" t="str">
            <v/>
          </cell>
          <cell r="O103" t="str">
            <v/>
          </cell>
          <cell r="P103">
            <v>76.692802080917374</v>
          </cell>
          <cell r="Q103">
            <v>5.5895550663188818</v>
          </cell>
          <cell r="R103">
            <v>-3.7378109861687443E-2</v>
          </cell>
          <cell r="S103">
            <v>3.7229817543974251E-4</v>
          </cell>
        </row>
        <row r="104">
          <cell r="B104">
            <v>2087</v>
          </cell>
          <cell r="D104">
            <v>109.5651579930912</v>
          </cell>
          <cell r="E104">
            <v>4.3074181768895068</v>
          </cell>
          <cell r="F104">
            <v>-7.9662395179768853E-3</v>
          </cell>
          <cell r="G104">
            <v>2.3972914202157941E-4</v>
          </cell>
          <cell r="H104">
            <v>56.346438846084325</v>
          </cell>
          <cell r="I104">
            <v>7.1193010781942521</v>
          </cell>
          <cell r="J104">
            <v>-6.7662598616499078E-2</v>
          </cell>
          <cell r="K104">
            <v>5.3202903446637013E-4</v>
          </cell>
          <cell r="L104" t="str">
            <v/>
          </cell>
          <cell r="M104">
            <v>2.2782980561636279</v>
          </cell>
          <cell r="N104" t="str">
            <v/>
          </cell>
          <cell r="O104" t="str">
            <v/>
          </cell>
          <cell r="P104">
            <v>77.014617455213383</v>
          </cell>
          <cell r="Q104">
            <v>5.6122318737935526</v>
          </cell>
          <cell r="R104">
            <v>-3.7531450176258419E-2</v>
          </cell>
          <cell r="S104">
            <v>3.7383786541594872E-4</v>
          </cell>
        </row>
        <row r="105">
          <cell r="B105">
            <v>2088</v>
          </cell>
          <cell r="D105">
            <v>110.03312828466208</v>
          </cell>
          <cell r="E105">
            <v>4.3258158479838507</v>
          </cell>
          <cell r="F105">
            <v>-8.0002645994739271E-3</v>
          </cell>
          <cell r="G105">
            <v>2.4075306348114549E-4</v>
          </cell>
          <cell r="H105">
            <v>56.577300845160735</v>
          </cell>
          <cell r="I105">
            <v>7.1484701989514363</v>
          </cell>
          <cell r="J105">
            <v>-6.7939825058829881E-2</v>
          </cell>
          <cell r="K105">
            <v>5.3420885787631273E-4</v>
          </cell>
          <cell r="L105" t="str">
            <v/>
          </cell>
          <cell r="M105">
            <v>2.2782980561636279</v>
          </cell>
          <cell r="N105" t="str">
            <v/>
          </cell>
          <cell r="O105" t="str">
            <v/>
          </cell>
          <cell r="P105">
            <v>77.338634889744085</v>
          </cell>
          <cell r="Q105">
            <v>5.6350638500388222</v>
          </cell>
          <cell r="R105">
            <v>-3.7685839740293721E-2</v>
          </cell>
          <cell r="S105">
            <v>3.7538809090518853E-4</v>
          </cell>
        </row>
        <row r="106">
          <cell r="B106">
            <v>2089</v>
          </cell>
          <cell r="D106">
            <v>110.50430071899054</v>
          </cell>
          <cell r="E106">
            <v>4.3443394073457018</v>
          </cell>
          <cell r="F106">
            <v>-8.0345225016654736E-3</v>
          </cell>
          <cell r="G106">
            <v>2.41783991245909E-4</v>
          </cell>
          <cell r="H106">
            <v>56.809742545110566</v>
          </cell>
          <cell r="I106">
            <v>7.1778389129102811</v>
          </cell>
          <cell r="J106">
            <v>-6.8218948456289008E-2</v>
          </cell>
          <cell r="K106">
            <v>5.3640359698896257E-4</v>
          </cell>
          <cell r="L106" t="str">
            <v/>
          </cell>
          <cell r="M106">
            <v>2.2782980561636279</v>
          </cell>
          <cell r="N106" t="str">
            <v/>
          </cell>
          <cell r="O106" t="str">
            <v/>
          </cell>
          <cell r="P106">
            <v>77.664869452370283</v>
          </cell>
          <cell r="Q106">
            <v>5.6580520568155839</v>
          </cell>
          <cell r="R106">
            <v>-3.7841285733408433E-2</v>
          </cell>
          <cell r="S106">
            <v>3.7694892399797156E-4</v>
          </cell>
        </row>
      </sheetData>
      <sheetData sheetId="39"/>
      <sheetData sheetId="40"/>
      <sheetData sheetId="41">
        <row r="26">
          <cell r="B26">
            <v>2010</v>
          </cell>
          <cell r="D26">
            <v>4.9660000000000011</v>
          </cell>
          <cell r="E26">
            <v>135.946</v>
          </cell>
        </row>
        <row r="27">
          <cell r="B27">
            <v>2011</v>
          </cell>
          <cell r="D27">
            <v>4.9647539795462716</v>
          </cell>
          <cell r="E27">
            <v>135.94600000000003</v>
          </cell>
        </row>
        <row r="28">
          <cell r="B28">
            <v>2012</v>
          </cell>
          <cell r="D28">
            <v>4.9635079590925439</v>
          </cell>
          <cell r="E28">
            <v>135.946</v>
          </cell>
        </row>
        <row r="29">
          <cell r="B29">
            <v>2013</v>
          </cell>
          <cell r="D29">
            <v>4.9622619386388163</v>
          </cell>
          <cell r="E29">
            <v>135.946</v>
          </cell>
        </row>
        <row r="30">
          <cell r="B30">
            <v>2014</v>
          </cell>
          <cell r="D30">
            <v>4.9610159181850877</v>
          </cell>
          <cell r="E30">
            <v>135.946</v>
          </cell>
        </row>
        <row r="31">
          <cell r="B31">
            <v>2015</v>
          </cell>
          <cell r="D31">
            <v>4.9597698977313591</v>
          </cell>
          <cell r="E31">
            <v>135.946</v>
          </cell>
        </row>
        <row r="32">
          <cell r="B32">
            <v>2016</v>
          </cell>
          <cell r="D32">
            <v>4.9536775750878626</v>
          </cell>
          <cell r="E32">
            <v>135.946</v>
          </cell>
        </row>
        <row r="33">
          <cell r="B33">
            <v>2017</v>
          </cell>
          <cell r="D33">
            <v>4.9475852524443669</v>
          </cell>
          <cell r="E33">
            <v>135.94600000000003</v>
          </cell>
        </row>
        <row r="34">
          <cell r="B34">
            <v>2018</v>
          </cell>
          <cell r="D34">
            <v>4.9414929298008703</v>
          </cell>
          <cell r="E34">
            <v>135.946</v>
          </cell>
        </row>
        <row r="35">
          <cell r="B35">
            <v>2019</v>
          </cell>
          <cell r="D35">
            <v>4.9354006071573746</v>
          </cell>
          <cell r="E35">
            <v>135.946</v>
          </cell>
        </row>
        <row r="36">
          <cell r="B36">
            <v>2020</v>
          </cell>
          <cell r="D36">
            <v>4.9293082845138771</v>
          </cell>
          <cell r="E36">
            <v>135.946</v>
          </cell>
        </row>
        <row r="37">
          <cell r="B37">
            <v>2021</v>
          </cell>
          <cell r="D37">
            <v>4.9172757581832718</v>
          </cell>
          <cell r="E37">
            <v>135.946</v>
          </cell>
        </row>
        <row r="38">
          <cell r="B38">
            <v>2022</v>
          </cell>
          <cell r="D38">
            <v>4.9052432318526655</v>
          </cell>
          <cell r="E38">
            <v>135.946</v>
          </cell>
        </row>
        <row r="39">
          <cell r="B39">
            <v>2023</v>
          </cell>
          <cell r="D39">
            <v>4.8932107055220602</v>
          </cell>
          <cell r="E39">
            <v>135.94600000000003</v>
          </cell>
        </row>
        <row r="40">
          <cell r="B40">
            <v>2024</v>
          </cell>
          <cell r="D40">
            <v>4.8811781791914548</v>
          </cell>
          <cell r="E40">
            <v>135.94600000000003</v>
          </cell>
        </row>
        <row r="41">
          <cell r="B41">
            <v>2025</v>
          </cell>
          <cell r="D41">
            <v>4.8691456528608485</v>
          </cell>
          <cell r="E41">
            <v>135.94600000000003</v>
          </cell>
        </row>
        <row r="42">
          <cell r="B42">
            <v>2026</v>
          </cell>
          <cell r="D42">
            <v>4.8480752057364223</v>
          </cell>
          <cell r="E42">
            <v>135.946</v>
          </cell>
        </row>
        <row r="43">
          <cell r="B43">
            <v>2027</v>
          </cell>
          <cell r="D43">
            <v>4.827004758611996</v>
          </cell>
          <cell r="E43">
            <v>135.946</v>
          </cell>
        </row>
        <row r="44">
          <cell r="B44">
            <v>2028</v>
          </cell>
          <cell r="D44">
            <v>4.8059343114875697</v>
          </cell>
          <cell r="E44">
            <v>135.946</v>
          </cell>
        </row>
        <row r="45">
          <cell r="B45">
            <v>2029</v>
          </cell>
          <cell r="D45">
            <v>4.7848638643631434</v>
          </cell>
          <cell r="E45">
            <v>135.946</v>
          </cell>
        </row>
        <row r="46">
          <cell r="B46">
            <v>2030</v>
          </cell>
          <cell r="D46">
            <v>4.7637934172387171</v>
          </cell>
          <cell r="E46">
            <v>135.946</v>
          </cell>
        </row>
        <row r="47">
          <cell r="B47">
            <v>2031</v>
          </cell>
          <cell r="D47">
            <v>4.7637934172387171</v>
          </cell>
          <cell r="E47">
            <v>135.946</v>
          </cell>
        </row>
        <row r="48">
          <cell r="B48">
            <v>2032</v>
          </cell>
          <cell r="D48">
            <v>4.7637934172387171</v>
          </cell>
          <cell r="E48">
            <v>135.946</v>
          </cell>
        </row>
        <row r="49">
          <cell r="B49">
            <v>2033</v>
          </cell>
          <cell r="D49">
            <v>4.7637934172387171</v>
          </cell>
          <cell r="E49">
            <v>135.946</v>
          </cell>
        </row>
        <row r="50">
          <cell r="B50">
            <v>2034</v>
          </cell>
          <cell r="D50">
            <v>4.7637934172387171</v>
          </cell>
          <cell r="E50">
            <v>135.946</v>
          </cell>
        </row>
        <row r="51">
          <cell r="B51">
            <v>2035</v>
          </cell>
          <cell r="D51">
            <v>4.7637934172387171</v>
          </cell>
          <cell r="E51">
            <v>135.946</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ow r="28">
          <cell r="AU28">
            <v>1</v>
          </cell>
          <cell r="BE28">
            <v>2010</v>
          </cell>
          <cell r="BF28">
            <v>89.051621193584978</v>
          </cell>
          <cell r="BG28">
            <v>5.3772955450925783</v>
          </cell>
          <cell r="BH28">
            <v>-3.0793212809282218E-2</v>
          </cell>
          <cell r="BI28">
            <v>3.512188216641679E-4</v>
          </cell>
          <cell r="BJ28">
            <v>105.40657040563666</v>
          </cell>
          <cell r="BK28">
            <v>6.3657309307929451</v>
          </cell>
          <cell r="BL28">
            <v>-3.6460007686057644E-2</v>
          </cell>
          <cell r="BM28">
            <v>4.1579595115400771E-4</v>
          </cell>
          <cell r="BN28">
            <v>6.4529728480225232</v>
          </cell>
          <cell r="BO28">
            <v>7.6385710338725765</v>
          </cell>
          <cell r="BP28">
            <v>7.4955968416034189</v>
          </cell>
        </row>
        <row r="29">
          <cell r="AU29">
            <v>1.0336281671028302</v>
          </cell>
          <cell r="BE29">
            <v>2011</v>
          </cell>
          <cell r="BF29">
            <v>90.406978290856273</v>
          </cell>
          <cell r="BG29">
            <v>5.5599009127087324</v>
          </cell>
          <cell r="BH29">
            <v>-3.2563506900331593E-2</v>
          </cell>
          <cell r="BI29">
            <v>3.6493408603248639E-4</v>
          </cell>
          <cell r="BJ29">
            <v>107.94260831402802</v>
          </cell>
          <cell r="BK29">
            <v>6.6391796747836453</v>
          </cell>
          <cell r="BL29">
            <v>-3.8891765398492525E-2</v>
          </cell>
          <cell r="BM29">
            <v>4.3579591517286099E-4</v>
          </cell>
          <cell r="BN29">
            <v>6.6096551546017599</v>
          </cell>
          <cell r="BO29">
            <v>7.8921301180720809</v>
          </cell>
          <cell r="BP29">
            <v>7.7374733176518609</v>
          </cell>
        </row>
        <row r="30">
          <cell r="AU30">
            <v>1.0436502005614698</v>
          </cell>
          <cell r="BE30">
            <v>2012</v>
          </cell>
          <cell r="BF30">
            <v>88.736053973348618</v>
          </cell>
          <cell r="BG30">
            <v>5.5954809300664419</v>
          </cell>
          <cell r="BH30">
            <v>-3.3747523151700889E-2</v>
          </cell>
          <cell r="BI30">
            <v>3.6967279889799331E-4</v>
          </cell>
          <cell r="BJ30">
            <v>106.48326476801834</v>
          </cell>
          <cell r="BK30">
            <v>6.7144176142824481</v>
          </cell>
          <cell r="BL30">
            <v>-4.0497027782041062E-2</v>
          </cell>
          <cell r="BM30">
            <v>4.4360735867759191E-4</v>
          </cell>
          <cell r="BN30">
            <v>6.5669326533100598</v>
          </cell>
          <cell r="BO30">
            <v>7.8801596821747895</v>
          </cell>
          <cell r="BP30">
            <v>7.7217944147858715</v>
          </cell>
        </row>
        <row r="31">
          <cell r="AU31">
            <v>1.0563356904502235</v>
          </cell>
          <cell r="BE31">
            <v>2013</v>
          </cell>
          <cell r="BF31">
            <v>83.154482013580719</v>
          </cell>
          <cell r="BG31">
            <v>5.369314988694029</v>
          </cell>
          <cell r="BH31">
            <v>-3.3246627014516389E-2</v>
          </cell>
          <cell r="BI31">
            <v>3.5684895225623881E-4</v>
          </cell>
          <cell r="BJ31">
            <v>99.785378416296851</v>
          </cell>
          <cell r="BK31">
            <v>6.4429282617327104</v>
          </cell>
          <cell r="BL31">
            <v>-3.9895952417419667E-2</v>
          </cell>
          <cell r="BM31">
            <v>4.2821874270748662E-4</v>
          </cell>
          <cell r="BN31">
            <v>6.2263494289128696</v>
          </cell>
          <cell r="BO31">
            <v>7.4713695899953194</v>
          </cell>
          <cell r="BP31">
            <v>7.321229556032673</v>
          </cell>
        </row>
        <row r="32">
          <cell r="AU32">
            <v>1.060470714790791</v>
          </cell>
          <cell r="BE32">
            <v>2014</v>
          </cell>
          <cell r="BF32">
            <v>74.338103718286305</v>
          </cell>
          <cell r="BG32">
            <v>4.909828531384699</v>
          </cell>
          <cell r="BH32">
            <v>-3.1135009276275615E-2</v>
          </cell>
          <cell r="BI32">
            <v>3.2810237977196196E-4</v>
          </cell>
          <cell r="BJ32">
            <v>89.205724461943561</v>
          </cell>
          <cell r="BK32">
            <v>5.8914581966517368</v>
          </cell>
          <cell r="BL32">
            <v>-3.7362011131530731E-2</v>
          </cell>
          <cell r="BM32">
            <v>3.9372285572635436E-4</v>
          </cell>
          <cell r="BN32">
            <v>5.6296864493615733</v>
          </cell>
          <cell r="BO32">
            <v>6.7552876982239853</v>
          </cell>
          <cell r="BP32">
            <v>6.6195486836961646</v>
          </cell>
        </row>
        <row r="33">
          <cell r="AU33">
            <v>1.0710292347205361</v>
          </cell>
          <cell r="BE33">
            <v>2015</v>
          </cell>
          <cell r="BF33">
            <v>65.408630461783233</v>
          </cell>
          <cell r="BG33">
            <v>4.4108419584434913</v>
          </cell>
          <cell r="BH33">
            <v>-2.8554408644546933E-2</v>
          </cell>
          <cell r="BI33">
            <v>2.9614556075742838E-4</v>
          </cell>
          <cell r="BJ33">
            <v>78.490356554139879</v>
          </cell>
          <cell r="BK33">
            <v>5.2925139244442612</v>
          </cell>
          <cell r="BL33">
            <v>-3.4265290373456325E-2</v>
          </cell>
          <cell r="BM33">
            <v>3.5537467290891407E-4</v>
          </cell>
          <cell r="BN33">
            <v>5.006452801221756</v>
          </cell>
          <cell r="BO33">
            <v>6.0072469357781797</v>
          </cell>
          <cell r="BP33">
            <v>5.8865587171863778</v>
          </cell>
        </row>
        <row r="34">
          <cell r="AU34">
            <v>1.07525003958643</v>
          </cell>
          <cell r="BE34">
            <v>2016</v>
          </cell>
          <cell r="BF34">
            <v>61.281060756091122</v>
          </cell>
          <cell r="BG34">
            <v>4.20090557349093</v>
          </cell>
          <cell r="BH34">
            <v>-2.760624672257837E-2</v>
          </cell>
          <cell r="BI34">
            <v>2.8294726883207582E-4</v>
          </cell>
          <cell r="BJ34">
            <v>73.537272907309344</v>
          </cell>
          <cell r="BK34">
            <v>5.040240538939134</v>
          </cell>
          <cell r="BL34">
            <v>-3.3127496067094045E-2</v>
          </cell>
          <cell r="BM34">
            <v>3.3953672259849095E-4</v>
          </cell>
          <cell r="BN34">
            <v>4.7340401124191098</v>
          </cell>
          <cell r="BO34">
            <v>5.6800019856529511</v>
          </cell>
          <cell r="BP34">
            <v>5.565926123900466</v>
          </cell>
        </row>
        <row r="35">
          <cell r="AU35">
            <v>1.0836999416656945</v>
          </cell>
          <cell r="BE35">
            <v>2017</v>
          </cell>
          <cell r="BF35">
            <v>59.921705060715567</v>
          </cell>
          <cell r="BG35">
            <v>4.1627326050108628</v>
          </cell>
          <cell r="BH35">
            <v>-2.7663729853549861E-2</v>
          </cell>
          <cell r="BI35">
            <v>2.8097815813844394E-4</v>
          </cell>
          <cell r="BJ35">
            <v>71.906046072858686</v>
          </cell>
          <cell r="BK35">
            <v>4.9939517190410641</v>
          </cell>
          <cell r="BL35">
            <v>-3.319647582425983E-2</v>
          </cell>
          <cell r="BM35">
            <v>3.3717378976613277E-4</v>
          </cell>
          <cell r="BN35">
            <v>4.6654884002380861</v>
          </cell>
          <cell r="BO35">
            <v>5.5972586733137328</v>
          </cell>
          <cell r="BP35">
            <v>5.4848942114215387</v>
          </cell>
        </row>
        <row r="36">
          <cell r="AU36">
            <v>1.0964368655638221</v>
          </cell>
          <cell r="BE36">
            <v>2018</v>
          </cell>
          <cell r="BF36">
            <v>58.461135822338164</v>
          </cell>
          <cell r="BG36">
            <v>4.1154628167498117</v>
          </cell>
          <cell r="BH36">
            <v>-2.7644771379859288E-2</v>
          </cell>
          <cell r="BI36">
            <v>2.7834337452304302E-4</v>
          </cell>
          <cell r="BJ36">
            <v>70.153362986805803</v>
          </cell>
          <cell r="BK36">
            <v>4.9367149155067915</v>
          </cell>
          <cell r="BL36">
            <v>-3.3173725655831141E-2</v>
          </cell>
          <cell r="BM36">
            <v>3.3401204942765155E-4</v>
          </cell>
          <cell r="BN36">
            <v>4.5879291595282643</v>
          </cell>
          <cell r="BO36">
            <v>5.5036745268409346</v>
          </cell>
          <cell r="BP36">
            <v>5.3932425476271018</v>
          </cell>
        </row>
        <row r="37">
          <cell r="AU37">
            <v>1.1104247745455</v>
          </cell>
          <cell r="BE37">
            <v>2019</v>
          </cell>
          <cell r="BF37">
            <v>57.368548271190548</v>
          </cell>
          <cell r="BG37">
            <v>4.0933068632327636</v>
          </cell>
          <cell r="BH37">
            <v>-2.7789743519885359E-2</v>
          </cell>
          <cell r="BI37">
            <v>2.7739580706678639E-4</v>
          </cell>
          <cell r="BJ37">
            <v>68.842257925428669</v>
          </cell>
          <cell r="BK37">
            <v>4.9096051168633457</v>
          </cell>
          <cell r="BL37">
            <v>-3.3347692223862434E-2</v>
          </cell>
          <cell r="BM37">
            <v>3.3287496848014367E-4</v>
          </cell>
          <cell r="BN37">
            <v>4.5387397547941033</v>
          </cell>
          <cell r="BO37">
            <v>5.4441245867369545</v>
          </cell>
          <cell r="BP37">
            <v>5.3349420098869693</v>
          </cell>
        </row>
        <row r="38">
          <cell r="AU38">
            <v>1.1234885954225058</v>
          </cell>
          <cell r="BE38">
            <v>2020</v>
          </cell>
          <cell r="BF38">
            <v>56.938299014155405</v>
          </cell>
          <cell r="BG38">
            <v>4.1069480379978547</v>
          </cell>
          <cell r="BH38">
            <v>-2.8099763826717607E-2</v>
          </cell>
          <cell r="BI38">
            <v>2.7864907575552447E-4</v>
          </cell>
          <cell r="BJ38">
            <v>68.325958816986486</v>
          </cell>
          <cell r="BK38">
            <v>4.9253408785301627</v>
          </cell>
          <cell r="BL38">
            <v>-3.3719716592061133E-2</v>
          </cell>
          <cell r="BM38">
            <v>3.3437889090662937E-4</v>
          </cell>
          <cell r="BN38">
            <v>4.5357930825999748</v>
          </cell>
          <cell r="BO38">
            <v>5.4399549320527063</v>
          </cell>
          <cell r="BP38">
            <v>5.3309198376599074</v>
          </cell>
        </row>
        <row r="39">
          <cell r="AU39">
            <v>1.1353205840590888</v>
          </cell>
          <cell r="BE39">
            <v>2021</v>
          </cell>
          <cell r="BF39">
            <v>56.962279816096135</v>
          </cell>
          <cell r="BG39">
            <v>4.1299759746500735</v>
          </cell>
          <cell r="BH39">
            <v>-2.8312267208681151E-2</v>
          </cell>
          <cell r="BI39">
            <v>2.8005678041249005E-4</v>
          </cell>
          <cell r="BJ39">
            <v>68.354735779315376</v>
          </cell>
          <cell r="BK39">
            <v>4.9521006516414623</v>
          </cell>
          <cell r="BL39">
            <v>-3.397472065041738E-2</v>
          </cell>
          <cell r="BM39">
            <v>3.3606813649498802E-4</v>
          </cell>
          <cell r="BN39">
            <v>4.5573779330348909</v>
          </cell>
          <cell r="BO39">
            <v>5.4649830017032439</v>
          </cell>
          <cell r="BP39">
            <v>5.3555326810626029</v>
          </cell>
        </row>
        <row r="40">
          <cell r="AU40">
            <v>1.1458791210620853</v>
          </cell>
          <cell r="BE40">
            <v>2022</v>
          </cell>
          <cell r="BF40">
            <v>57.043360238793383</v>
          </cell>
          <cell r="BG40">
            <v>4.1452333519064677</v>
          </cell>
          <cell r="BH40">
            <v>-2.8388618295739302E-2</v>
          </cell>
          <cell r="BI40">
            <v>2.8068723270859383E-4</v>
          </cell>
          <cell r="BJ40">
            <v>68.452032286552068</v>
          </cell>
          <cell r="BK40">
            <v>4.9694143870784639</v>
          </cell>
          <cell r="BL40">
            <v>-3.4066341954887162E-2</v>
          </cell>
          <cell r="BM40">
            <v>3.3682467925031257E-4</v>
          </cell>
          <cell r="BN40">
            <v>4.5772723317145925</v>
          </cell>
          <cell r="BO40">
            <v>5.4878611628482137</v>
          </cell>
          <cell r="BP40">
            <v>5.378051022975824</v>
          </cell>
        </row>
        <row r="41">
          <cell r="AU41">
            <v>1.1551268615842296</v>
          </cell>
          <cell r="BE41">
            <v>2023</v>
          </cell>
          <cell r="BF41">
            <v>57.063452302476698</v>
          </cell>
          <cell r="BG41">
            <v>4.1559530883235567</v>
          </cell>
          <cell r="BH41">
            <v>-2.8431876769803185E-2</v>
          </cell>
          <cell r="BI41">
            <v>2.8099996270983089E-4</v>
          </cell>
          <cell r="BJ41">
            <v>68.476142762972046</v>
          </cell>
          <cell r="BK41">
            <v>4.9812722986251758</v>
          </cell>
          <cell r="BL41">
            <v>-3.411825212376382E-2</v>
          </cell>
          <cell r="BM41">
            <v>3.3719995525179704E-4</v>
          </cell>
          <cell r="BN41">
            <v>4.5923250845918906</v>
          </cell>
          <cell r="BO41">
            <v>5.504918694147177</v>
          </cell>
          <cell r="BP41">
            <v>5.3948667931292853</v>
          </cell>
        </row>
        <row r="42">
          <cell r="AU42">
            <v>1.1630309554562628</v>
          </cell>
          <cell r="BE42">
            <v>2024</v>
          </cell>
          <cell r="BF42">
            <v>57.033151435778493</v>
          </cell>
          <cell r="BG42">
            <v>4.1636360089990401</v>
          </cell>
          <cell r="BH42">
            <v>-2.8447275455506359E-2</v>
          </cell>
          <cell r="BI42">
            <v>2.8104684789157213E-4</v>
          </cell>
          <cell r="BJ42">
            <v>68.439781722934185</v>
          </cell>
          <cell r="BK42">
            <v>4.9893643764269182</v>
          </cell>
          <cell r="BL42">
            <v>-3.4136730546607631E-2</v>
          </cell>
          <cell r="BM42">
            <v>3.3725621746988658E-4</v>
          </cell>
          <cell r="BN42">
            <v>4.6041027457439059</v>
          </cell>
          <cell r="BO42">
            <v>5.5179244605207574</v>
          </cell>
          <cell r="BP42">
            <v>5.4077244592829343</v>
          </cell>
        </row>
        <row r="43">
          <cell r="AU43">
            <v>1.1709891340370977</v>
          </cell>
          <cell r="BE43">
            <v>2025</v>
          </cell>
          <cell r="BF43">
            <v>56.779162746469623</v>
          </cell>
          <cell r="BG43">
            <v>4.1541963327035294</v>
          </cell>
          <cell r="BH43">
            <v>-2.8315089420072662E-2</v>
          </cell>
          <cell r="BI43">
            <v>2.7975987912803684E-4</v>
          </cell>
          <cell r="BJ43">
            <v>68.134995295763545</v>
          </cell>
          <cell r="BK43">
            <v>4.9766389117071927</v>
          </cell>
          <cell r="BL43">
            <v>-3.3978107304087193E-2</v>
          </cell>
          <cell r="BM43">
            <v>3.3571185495364421E-4</v>
          </cell>
          <cell r="BN43">
            <v>4.5982662416026905</v>
          </cell>
          <cell r="BO43">
            <v>5.5095228023861855</v>
          </cell>
          <cell r="BP43">
            <v>5.3996321393580722</v>
          </cell>
        </row>
        <row r="44">
          <cell r="AU44">
            <v>1.1790017674078308</v>
          </cell>
          <cell r="BE44">
            <v>2026</v>
          </cell>
          <cell r="BF44">
            <v>56.138469042481447</v>
          </cell>
          <cell r="BG44">
            <v>4.1139565528005555</v>
          </cell>
          <cell r="BH44">
            <v>-2.7921818849294906E-2</v>
          </cell>
          <cell r="BI44">
            <v>2.761287588052729E-4</v>
          </cell>
          <cell r="BJ44">
            <v>67.36616285097773</v>
          </cell>
          <cell r="BK44">
            <v>4.9265968848285659</v>
          </cell>
          <cell r="BL44">
            <v>-3.350618261915389E-2</v>
          </cell>
          <cell r="BM44">
            <v>3.3135451056632746E-4</v>
          </cell>
          <cell r="BN44">
            <v>4.5602964795615017</v>
          </cell>
          <cell r="BO44">
            <v>5.4622047969417018</v>
          </cell>
          <cell r="BP44">
            <v>5.3534414615070967</v>
          </cell>
        </row>
        <row r="45">
          <cell r="AU45">
            <v>1.1870692281818827</v>
          </cell>
          <cell r="BE45">
            <v>2027</v>
          </cell>
          <cell r="BF45">
            <v>55.316989557873946</v>
          </cell>
          <cell r="BG45">
            <v>4.0591154930335165</v>
          </cell>
          <cell r="BH45">
            <v>-2.7405649441123146E-2</v>
          </cell>
          <cell r="BI45">
            <v>2.7139633250752198E-4</v>
          </cell>
          <cell r="BJ45">
            <v>66.380387469448749</v>
          </cell>
          <cell r="BK45">
            <v>4.8588872741933002</v>
          </cell>
          <cell r="BL45">
            <v>-3.2886779329347776E-2</v>
          </cell>
          <cell r="BM45">
            <v>3.256755990090264E-4</v>
          </cell>
          <cell r="BN45">
            <v>4.5072920035774793</v>
          </cell>
          <cell r="BO45">
            <v>5.3966990868460556</v>
          </cell>
          <cell r="BP45">
            <v>5.2894433058854773</v>
          </cell>
        </row>
        <row r="46">
          <cell r="AU46">
            <v>1.1951918915223259</v>
          </cell>
          <cell r="BE46">
            <v>2028</v>
          </cell>
          <cell r="BF46">
            <v>54.506467935764249</v>
          </cell>
          <cell r="BG46">
            <v>4.0040591121318307</v>
          </cell>
          <cell r="BH46">
            <v>-2.6896592482559774E-2</v>
          </cell>
          <cell r="BI46">
            <v>2.6672849367067512E-4</v>
          </cell>
          <cell r="BJ46">
            <v>65.407761522917099</v>
          </cell>
          <cell r="BK46">
            <v>4.7910892845087361</v>
          </cell>
          <cell r="BL46">
            <v>-3.2275910979071731E-2</v>
          </cell>
          <cell r="BM46">
            <v>3.2007419240481013E-4</v>
          </cell>
          <cell r="BN46">
            <v>4.4539859955405996</v>
          </cell>
          <cell r="BO46">
            <v>5.3310015445992596</v>
          </cell>
          <cell r="BP46">
            <v>5.2252400891325825</v>
          </cell>
        </row>
        <row r="47">
          <cell r="AU47">
            <v>1.2033701351593313</v>
          </cell>
          <cell r="BE47">
            <v>2029</v>
          </cell>
          <cell r="BF47">
            <v>53.706755082720832</v>
          </cell>
          <cell r="BG47">
            <v>3.9493982208958567</v>
          </cell>
          <cell r="BH47">
            <v>-2.6394551687657322E-2</v>
          </cell>
          <cell r="BI47">
            <v>2.6212436664180407E-4</v>
          </cell>
          <cell r="BJ47">
            <v>64.448106099265004</v>
          </cell>
          <cell r="BK47">
            <v>4.7238423990791834</v>
          </cell>
          <cell r="BL47">
            <v>-3.1673462025188788E-2</v>
          </cell>
          <cell r="BM47">
            <v>3.1454923997016485E-4</v>
          </cell>
          <cell r="BN47">
            <v>4.400990091264358</v>
          </cell>
          <cell r="BO47">
            <v>5.2657526435213846</v>
          </cell>
          <cell r="BP47">
            <v>5.1614688069828558</v>
          </cell>
        </row>
        <row r="48">
          <cell r="AU48">
            <v>1.2116043394077336</v>
          </cell>
          <cell r="BE48">
            <v>2030</v>
          </cell>
          <cell r="BF48">
            <v>53.086061270147169</v>
          </cell>
          <cell r="BG48">
            <v>3.9075551298683426</v>
          </cell>
          <cell r="BH48">
            <v>-2.6009557726230779E-2</v>
          </cell>
          <cell r="BI48">
            <v>2.5858087620365451E-4</v>
          </cell>
          <cell r="BJ48">
            <v>63.703273524176609</v>
          </cell>
          <cell r="BK48">
            <v>4.6723137892746367</v>
          </cell>
          <cell r="BL48">
            <v>-3.1211469271476933E-2</v>
          </cell>
          <cell r="BM48">
            <v>3.1029705144438539E-4</v>
          </cell>
          <cell r="BN48">
            <v>4.3612492799533111</v>
          </cell>
          <cell r="BO48">
            <v>5.2167467693765985</v>
          </cell>
          <cell r="BP48">
            <v>5.1135802294827393</v>
          </cell>
        </row>
        <row r="49">
          <cell r="AU49">
            <v>1.2198948871847173</v>
          </cell>
          <cell r="BE49">
            <v>2031</v>
          </cell>
          <cell r="BF49">
            <v>52.810210650343656</v>
          </cell>
          <cell r="BG49">
            <v>3.8890915817385379</v>
          </cell>
          <cell r="BH49">
            <v>-2.5850055884341881E-2</v>
          </cell>
          <cell r="BI49">
            <v>2.5708064748850696E-4</v>
          </cell>
          <cell r="BJ49">
            <v>63.372252780412381</v>
          </cell>
          <cell r="BK49">
            <v>4.6496866199375431</v>
          </cell>
          <cell r="BL49">
            <v>-3.1020067061210254E-2</v>
          </cell>
          <cell r="BM49">
            <v>3.0849677698620835E-4</v>
          </cell>
          <cell r="BN49">
            <v>4.3466569320723654</v>
          </cell>
          <cell r="BO49">
            <v>5.1987650403381362</v>
          </cell>
          <cell r="BP49">
            <v>5.0960072342286837</v>
          </cell>
        </row>
        <row r="50">
          <cell r="AU50">
            <v>1.2282421640276238</v>
          </cell>
          <cell r="BE50">
            <v>2032</v>
          </cell>
          <cell r="BF50">
            <v>52.705960842323847</v>
          </cell>
          <cell r="BG50">
            <v>3.8820139488764482</v>
          </cell>
          <cell r="BH50">
            <v>-2.5802677090005846E-2</v>
          </cell>
          <cell r="BI50">
            <v>2.5659663137995889E-4</v>
          </cell>
          <cell r="BJ50">
            <v>63.247153010788608</v>
          </cell>
          <cell r="BK50">
            <v>4.6411797624179405</v>
          </cell>
          <cell r="BL50">
            <v>-3.0963212508007015E-2</v>
          </cell>
          <cell r="BM50">
            <v>3.0791595765595071E-4</v>
          </cell>
          <cell r="BN50">
            <v>4.3440138608095733</v>
          </cell>
          <cell r="BO50">
            <v>5.1955796567376904</v>
          </cell>
          <cell r="BP50">
            <v>5.0928872494027626</v>
          </cell>
        </row>
        <row r="51">
          <cell r="AU51">
            <v>1.2366465581118795</v>
          </cell>
          <cell r="BE51">
            <v>2033</v>
          </cell>
          <cell r="BF51">
            <v>52.602527499965078</v>
          </cell>
          <cell r="BG51">
            <v>3.8749937063820381</v>
          </cell>
          <cell r="BH51">
            <v>-2.5755684546259001E-2</v>
          </cell>
          <cell r="BI51">
            <v>2.5611650366327875E-4</v>
          </cell>
          <cell r="BJ51">
            <v>63.123032999958085</v>
          </cell>
          <cell r="BK51">
            <v>4.6327417624451384</v>
          </cell>
          <cell r="BL51">
            <v>-3.09068214555108E-2</v>
          </cell>
          <cell r="BM51">
            <v>3.0733980439593453E-4</v>
          </cell>
          <cell r="BN51">
            <v>4.3414626890230874</v>
          </cell>
          <cell r="BO51">
            <v>5.1925045416143982</v>
          </cell>
          <cell r="BP51">
            <v>5.0898753178911429</v>
          </cell>
        </row>
        <row r="52">
          <cell r="AU52">
            <v>1.2451084602690481</v>
          </cell>
          <cell r="BE52">
            <v>2034</v>
          </cell>
          <cell r="BF52">
            <v>52.499906423227777</v>
          </cell>
          <cell r="BG52">
            <v>3.8680305712306882</v>
          </cell>
          <cell r="BH52">
            <v>-2.5709076418720365E-2</v>
          </cell>
          <cell r="BI52">
            <v>2.5564024531689685E-4</v>
          </cell>
          <cell r="BJ52">
            <v>62.99988770787332</v>
          </cell>
          <cell r="BK52">
            <v>4.6243722803809293</v>
          </cell>
          <cell r="BL52">
            <v>-3.0850891702464439E-2</v>
          </cell>
          <cell r="BM52">
            <v>3.0676829438027625E-4</v>
          </cell>
          <cell r="BN52">
            <v>4.339002831117126</v>
          </cell>
          <cell r="BO52">
            <v>5.1895389922446551</v>
          </cell>
          <cell r="BP52">
            <v>5.0869707510949524</v>
          </cell>
        </row>
        <row r="53">
          <cell r="AU53">
            <v>1.2536282640050047</v>
          </cell>
          <cell r="BE53">
            <v>2035</v>
          </cell>
          <cell r="BF53">
            <v>52.470695923066074</v>
          </cell>
          <cell r="BG53">
            <v>3.8661732499673183</v>
          </cell>
          <cell r="BH53">
            <v>-2.5696873771591012E-2</v>
          </cell>
          <cell r="BI53">
            <v>2.5551152345187558E-4</v>
          </cell>
          <cell r="BJ53">
            <v>62.964835107679285</v>
          </cell>
          <cell r="BK53">
            <v>4.6221331994986956</v>
          </cell>
          <cell r="BL53">
            <v>-3.0836248525909209E-2</v>
          </cell>
          <cell r="BM53">
            <v>3.066138281422507E-4</v>
          </cell>
          <cell r="BN53">
            <v>4.3423918425788051</v>
          </cell>
          <cell r="BO53">
            <v>5.1935955106324805</v>
          </cell>
          <cell r="BP53">
            <v>5.0909467731858546</v>
          </cell>
        </row>
        <row r="54">
          <cell r="AU54">
            <v>1.2622063655182356</v>
          </cell>
          <cell r="BE54">
            <v>2036</v>
          </cell>
          <cell r="BF54">
            <v>52.587618385009911</v>
          </cell>
          <cell r="BG54">
            <v>3.8744792147225184</v>
          </cell>
          <cell r="BH54">
            <v>-2.5753157318306772E-2</v>
          </cell>
          <cell r="BI54">
            <v>2.5607460220523806E-4</v>
          </cell>
          <cell r="BJ54">
            <v>63.105142062011893</v>
          </cell>
          <cell r="BK54">
            <v>4.632096924506893</v>
          </cell>
          <cell r="BL54">
            <v>-3.0903788781968124E-2</v>
          </cell>
          <cell r="BM54">
            <v>3.072895226462856E-4</v>
          </cell>
          <cell r="BN54">
            <v>4.3517910026094784</v>
          </cell>
          <cell r="BO54">
            <v>5.2048710699712455</v>
          </cell>
          <cell r="BP54">
            <v>5.1019960529312032</v>
          </cell>
        </row>
        <row r="55">
          <cell r="AU55">
            <v>1.2708431637182629</v>
          </cell>
          <cell r="BE55">
            <v>2037</v>
          </cell>
          <cell r="BF55">
            <v>52.778318537968929</v>
          </cell>
          <cell r="BG55">
            <v>3.8879169526289248</v>
          </cell>
          <cell r="BH55">
            <v>-2.5844023149398394E-2</v>
          </cell>
          <cell r="BI55">
            <v>2.5698698594269712E-4</v>
          </cell>
          <cell r="BJ55">
            <v>63.333982245562709</v>
          </cell>
          <cell r="BK55">
            <v>4.6482222099945805</v>
          </cell>
          <cell r="BL55">
            <v>-3.1012827779278072E-2</v>
          </cell>
          <cell r="BM55">
            <v>3.0838438313123651E-4</v>
          </cell>
          <cell r="BN55">
            <v>4.3670422730975735</v>
          </cell>
          <cell r="BO55">
            <v>5.2231725945569591</v>
          </cell>
          <cell r="BP55">
            <v>5.1199297398961896</v>
          </cell>
        </row>
        <row r="56">
          <cell r="AU56">
            <v>1.2795390602441945</v>
          </cell>
          <cell r="BE56">
            <v>2038</v>
          </cell>
          <cell r="BF56">
            <v>52.97032357956013</v>
          </cell>
          <cell r="BG56">
            <v>3.9014466398660694</v>
          </cell>
          <cell r="BH56">
            <v>-2.5935510740820074E-2</v>
          </cell>
          <cell r="BI56">
            <v>2.5790561277513392E-4</v>
          </cell>
          <cell r="BJ56">
            <v>63.564388295472149</v>
          </cell>
          <cell r="BK56">
            <v>4.6644578346791539</v>
          </cell>
          <cell r="BL56">
            <v>-3.1122612888984085E-2</v>
          </cell>
          <cell r="BM56">
            <v>3.0948673533016068E-4</v>
          </cell>
          <cell r="BN56">
            <v>4.3823979022302613</v>
          </cell>
          <cell r="BO56">
            <v>5.241599349516183</v>
          </cell>
          <cell r="BP56">
            <v>5.1379861402617175</v>
          </cell>
        </row>
        <row r="57">
          <cell r="AU57">
            <v>1.2882944594834023</v>
          </cell>
          <cell r="BE57">
            <v>2039</v>
          </cell>
          <cell r="BF57">
            <v>53.163642438640217</v>
          </cell>
          <cell r="BG57">
            <v>3.9150689056082575</v>
          </cell>
          <cell r="BH57">
            <v>-2.6027624347041308E-2</v>
          </cell>
          <cell r="BI57">
            <v>2.5883052542167339E-4</v>
          </cell>
          <cell r="BJ57">
            <v>63.796370926368255</v>
          </cell>
          <cell r="BK57">
            <v>4.6808045535697795</v>
          </cell>
          <cell r="BL57">
            <v>-3.1233149216449568E-2</v>
          </cell>
          <cell r="BM57">
            <v>3.1059663050600809E-4</v>
          </cell>
          <cell r="BN57">
            <v>4.3978586040940604</v>
          </cell>
          <cell r="BO57">
            <v>5.2601521917527432</v>
          </cell>
          <cell r="BP57">
            <v>5.1561660937089275</v>
          </cell>
        </row>
        <row r="58">
          <cell r="AU58">
            <v>1.297109768590327</v>
          </cell>
          <cell r="BE58">
            <v>2040</v>
          </cell>
          <cell r="BF58">
            <v>53.358284105162681</v>
          </cell>
          <cell r="BG58">
            <v>3.928784383334996</v>
          </cell>
          <cell r="BH58">
            <v>-2.6120368251643336E-2</v>
          </cell>
          <cell r="BI58">
            <v>2.5976176689375126E-4</v>
          </cell>
          <cell r="BJ58">
            <v>64.029940926195223</v>
          </cell>
          <cell r="BK58">
            <v>4.6972631268418654</v>
          </cell>
          <cell r="BL58">
            <v>-3.1344441901971998E-2</v>
          </cell>
          <cell r="BM58">
            <v>3.1171412027250153E-4</v>
          </cell>
          <cell r="BN58">
            <v>4.4134250976617189</v>
          </cell>
          <cell r="BO58">
            <v>5.2788319840339319</v>
          </cell>
          <cell r="BP58">
            <v>5.1744704456645723</v>
          </cell>
        </row>
        <row r="59">
          <cell r="AU59">
            <v>1.3059853975054125</v>
          </cell>
          <cell r="BE59">
            <v>2041</v>
          </cell>
          <cell r="BF59">
            <v>53.554257630595863</v>
          </cell>
          <cell r="BG59">
            <v>3.942593710860451</v>
          </cell>
          <cell r="BH59">
            <v>-2.6213746767518295E-2</v>
          </cell>
          <cell r="BI59">
            <v>2.6069938049711405E-4</v>
          </cell>
          <cell r="BJ59">
            <v>64.265109156715042</v>
          </cell>
          <cell r="BK59">
            <v>4.7138343198724115</v>
          </cell>
          <cell r="BL59">
            <v>-3.145649612102195E-2</v>
          </cell>
          <cell r="BM59">
            <v>3.1283925659653696E-4</v>
          </cell>
          <cell r="BN59">
            <v>4.4290981068256343</v>
          </cell>
          <cell r="BO59">
            <v>5.2976395950306321</v>
          </cell>
          <cell r="BP59">
            <v>5.1929000473403431</v>
          </cell>
        </row>
        <row r="60">
          <cell r="AU60">
            <v>1.3149217589741693</v>
          </cell>
          <cell r="BE60">
            <v>2042</v>
          </cell>
          <cell r="BF60">
            <v>53.751572128343831</v>
          </cell>
          <cell r="BG60">
            <v>3.9564975303631087</v>
          </cell>
          <cell r="BH60">
            <v>-2.6307764237069819E-2</v>
          </cell>
          <cell r="BI60">
            <v>2.6164340983383331E-4</v>
          </cell>
          <cell r="BJ60">
            <v>64.5018865540126</v>
          </cell>
          <cell r="BK60">
            <v>4.730518903275601</v>
          </cell>
          <cell r="BL60">
            <v>-3.1569317084483781E-2</v>
          </cell>
          <cell r="BM60">
            <v>3.1397209180059993E-4</v>
          </cell>
          <cell r="BN60">
            <v>4.4448783604315327</v>
          </cell>
          <cell r="BO60">
            <v>5.3165758993577104</v>
          </cell>
          <cell r="BP60">
            <v>5.211455755772449</v>
          </cell>
        </row>
        <row r="61">
          <cell r="AU61">
            <v>1.3239192685663681</v>
          </cell>
          <cell r="BE61">
            <v>2043</v>
          </cell>
          <cell r="BF61">
            <v>53.95023677417025</v>
          </cell>
          <cell r="BG61">
            <v>3.9704964884156384</v>
          </cell>
          <cell r="BH61">
            <v>-2.6402425032414956E-2</v>
          </cell>
          <cell r="BI61">
            <v>2.6259389880433259E-4</v>
          </cell>
          <cell r="BJ61">
            <v>64.740284129004309</v>
          </cell>
          <cell r="BK61">
            <v>4.7473176529386372</v>
          </cell>
          <cell r="BL61">
            <v>-3.1682910038897949E-2</v>
          </cell>
          <cell r="BM61">
            <v>3.1511267856519914E-4</v>
          </cell>
          <cell r="BN61">
            <v>4.4607665923123498</v>
          </cell>
          <cell r="BO61">
            <v>5.3356417776146916</v>
          </cell>
          <cell r="BP61">
            <v>5.2301384338614723</v>
          </cell>
        </row>
        <row r="62">
          <cell r="AU62">
            <v>1.332978344695366</v>
          </cell>
          <cell r="BE62">
            <v>2044</v>
          </cell>
          <cell r="BF62">
            <v>54.150260806624992</v>
          </cell>
          <cell r="BG62">
            <v>3.9845912360149596</v>
          </cell>
          <cell r="BH62">
            <v>-2.6497733555587478E-2</v>
          </cell>
          <cell r="BI62">
            <v>2.6355089160942972E-4</v>
          </cell>
          <cell r="BJ62">
            <v>64.980312967949999</v>
          </cell>
          <cell r="BK62">
            <v>4.7642313500578215</v>
          </cell>
          <cell r="BL62">
            <v>-3.1797280266704975E-2</v>
          </cell>
          <cell r="BM62">
            <v>3.1626106993131559E-4</v>
          </cell>
          <cell r="BN62">
            <v>4.4767635413223621</v>
          </cell>
          <cell r="BO62">
            <v>5.3548381164267056</v>
          </cell>
          <cell r="BP62">
            <v>5.2489489504124922</v>
          </cell>
        </row>
        <row r="63">
          <cell r="AU63">
            <v>1.3420994086375633</v>
          </cell>
          <cell r="BE63">
            <v>2045</v>
          </cell>
          <cell r="BF63">
            <v>54.351653527473857</v>
          </cell>
          <cell r="BG63">
            <v>3.9987824286125164</v>
          </cell>
          <cell r="BH63">
            <v>-2.659369423874261E-2</v>
          </cell>
          <cell r="BI63">
            <v>2.6451443275239157E-4</v>
          </cell>
          <cell r="BJ63">
            <v>65.221984232968623</v>
          </cell>
          <cell r="BK63">
            <v>4.7812607811748897</v>
          </cell>
          <cell r="BL63">
            <v>-3.1912433086491124E-2</v>
          </cell>
          <cell r="BM63">
            <v>3.1741731930286986E-4</v>
          </cell>
          <cell r="BN63">
            <v>4.4928699513715431</v>
          </cell>
          <cell r="BO63">
            <v>5.3741658084857216</v>
          </cell>
          <cell r="BP63">
            <v>5.2678881801754924</v>
          </cell>
        </row>
        <row r="64">
          <cell r="AU64">
            <v>1.3512828845519946</v>
          </cell>
          <cell r="BE64">
            <v>2046</v>
          </cell>
          <cell r="BF64">
            <v>54.554424302131068</v>
          </cell>
          <cell r="BG64">
            <v>4.0130707261447576</v>
          </cell>
          <cell r="BH64">
            <v>-2.6690311544363118E-2</v>
          </cell>
          <cell r="BI64">
            <v>2.6548456704100418E-4</v>
          </cell>
          <cell r="BJ64">
            <v>65.465309162557276</v>
          </cell>
          <cell r="BK64">
            <v>4.7984067382135809</v>
          </cell>
          <cell r="BL64">
            <v>-3.2028373853235745E-2</v>
          </cell>
          <cell r="BM64">
            <v>3.1858148044920502E-4</v>
          </cell>
          <cell r="BN64">
            <v>4.5090865714601609</v>
          </cell>
          <cell r="BO64">
            <v>5.3936257525920643</v>
          </cell>
          <cell r="BP64">
            <v>5.2869570038860418</v>
          </cell>
        </row>
        <row r="65">
          <cell r="AU65">
            <v>1.3605291995000535</v>
          </cell>
          <cell r="BE65">
            <v>2047</v>
          </cell>
          <cell r="BF65">
            <v>54.758582560094823</v>
          </cell>
          <cell r="BG65">
            <v>4.0274567930638288</v>
          </cell>
          <cell r="BH65">
            <v>-2.678758996546686E-2</v>
          </cell>
          <cell r="BI65">
            <v>2.6646133958965615E-4</v>
          </cell>
          <cell r="BJ65">
            <v>65.710299072113784</v>
          </cell>
          <cell r="BK65">
            <v>4.8156700185164656</v>
          </cell>
          <cell r="BL65">
            <v>-3.214510795856023E-2</v>
          </cell>
          <cell r="BM65">
            <v>3.1975360750758735E-4</v>
          </cell>
          <cell r="BN65">
            <v>4.5254141557136078</v>
          </cell>
          <cell r="BO65">
            <v>5.4132188536962005</v>
          </cell>
          <cell r="BP65">
            <v>5.3061563083062415</v>
          </cell>
        </row>
        <row r="66">
          <cell r="AU66">
            <v>1.3698387834653523</v>
          </cell>
          <cell r="BE66">
            <v>2048</v>
          </cell>
          <cell r="BF66">
            <v>54.964137795385803</v>
          </cell>
          <cell r="BG66">
            <v>4.0419412983684646</v>
          </cell>
          <cell r="BH66">
            <v>-2.6885534025815689E-2</v>
          </cell>
          <cell r="BI66">
            <v>2.6744479582143667E-4</v>
          </cell>
          <cell r="BJ66">
            <v>65.956965354462966</v>
          </cell>
          <cell r="BK66">
            <v>4.8330514248820284</v>
          </cell>
          <cell r="BL66">
            <v>-3.2262640830978823E-2</v>
          </cell>
          <cell r="BM66">
            <v>3.2093375498572403E-4</v>
          </cell>
          <cell r="BN66">
            <v>4.5418534634174694</v>
          </cell>
          <cell r="BO66">
            <v>5.4329460229408344</v>
          </cell>
          <cell r="BP66">
            <v>5.3254869862659735</v>
          </cell>
        </row>
        <row r="67">
          <cell r="AU67">
            <v>1.3792120693737175</v>
          </cell>
          <cell r="BE67">
            <v>2049</v>
          </cell>
          <cell r="BF67">
            <v>55.171099566988644</v>
          </cell>
          <cell r="BG67">
            <v>4.0565249156351069</v>
          </cell>
          <cell r="BH67">
            <v>-2.6984148280125853E-2</v>
          </cell>
          <cell r="BI67">
            <v>2.6843498147024808E-4</v>
          </cell>
          <cell r="BJ67">
            <v>66.205319480386379</v>
          </cell>
          <cell r="BK67">
            <v>4.850551765601999</v>
          </cell>
          <cell r="BL67">
            <v>-3.2380977936151016E-2</v>
          </cell>
          <cell r="BM67">
            <v>3.2212197776429767E-4</v>
          </cell>
          <cell r="BN67">
            <v>4.558405259052833</v>
          </cell>
          <cell r="BO67">
            <v>5.4528081777032709</v>
          </cell>
          <cell r="BP67">
            <v>5.3449499367044133</v>
          </cell>
        </row>
        <row r="68">
          <cell r="AU68">
            <v>1.3886494931133229</v>
          </cell>
          <cell r="BE68">
            <v>2050</v>
          </cell>
          <cell r="BF68">
            <v>55.379477499296492</v>
          </cell>
          <cell r="BG68">
            <v>4.0712083230492233</v>
          </cell>
          <cell r="BH68">
            <v>-2.7083437314279778E-2</v>
          </cell>
          <cell r="BI68">
            <v>2.6943194258293205E-4</v>
          </cell>
          <cell r="BJ68">
            <v>66.455372999155799</v>
          </cell>
          <cell r="BK68">
            <v>4.8681718544989394</v>
          </cell>
          <cell r="BL68">
            <v>-3.2500124777135729E-2</v>
          </cell>
          <cell r="BM68">
            <v>3.2331833109951842E-4</v>
          </cell>
          <cell r="BN68">
            <v>4.5750703123318406</v>
          </cell>
          <cell r="BO68">
            <v>5.4728062416380805</v>
          </cell>
          <cell r="BP68">
            <v>5.3645460647118366</v>
          </cell>
        </row>
        <row r="69">
          <cell r="AU69">
            <v>1.3981514935549588</v>
          </cell>
          <cell r="BE69">
            <v>2051</v>
          </cell>
          <cell r="BF69">
            <v>55.589281282558545</v>
          </cell>
          <cell r="BG69">
            <v>4.0859922034368488</v>
          </cell>
          <cell r="BH69">
            <v>-2.718340574553935E-2</v>
          </cell>
          <cell r="BI69">
            <v>2.7043572552141147E-4</v>
          </cell>
          <cell r="BJ69">
            <v>66.70713753907026</v>
          </cell>
          <cell r="BK69">
            <v>4.8859125109640891</v>
          </cell>
          <cell r="BL69">
            <v>-3.2620086894647217E-2</v>
          </cell>
          <cell r="BM69">
            <v>3.2452287062569377E-4</v>
          </cell>
          <cell r="BN69">
            <v>4.5918493982334816</v>
          </cell>
          <cell r="BO69">
            <v>5.4929411447200476</v>
          </cell>
          <cell r="BP69">
            <v>5.3842762815717027</v>
          </cell>
        </row>
        <row r="70">
          <cell r="AU70">
            <v>1.4077185125724416</v>
          </cell>
          <cell r="BE70">
            <v>2052</v>
          </cell>
          <cell r="BF70">
            <v>55.800520673330709</v>
          </cell>
          <cell r="BG70">
            <v>4.1008772442963339</v>
          </cell>
          <cell r="BH70">
            <v>-2.7284058222760615E-2</v>
          </cell>
          <cell r="BI70">
            <v>2.7144637696484633E-4</v>
          </cell>
          <cell r="BJ70">
            <v>66.960624807996851</v>
          </cell>
          <cell r="BK70">
            <v>4.9037745599954716</v>
          </cell>
          <cell r="BL70">
            <v>-3.2740869867312741E-2</v>
          </cell>
          <cell r="BM70">
            <v>3.2573565235781556E-4</v>
          </cell>
          <cell r="BN70">
            <v>4.6087432970396298</v>
          </cell>
          <cell r="BO70">
            <v>5.5132138232874253</v>
          </cell>
          <cell r="BP70">
            <v>5.4041415048030466</v>
          </cell>
        </row>
        <row r="71">
          <cell r="AU71">
            <v>1.4173509950631624</v>
          </cell>
          <cell r="BE71">
            <v>2053</v>
          </cell>
          <cell r="BF71">
            <v>56.013205494929252</v>
          </cell>
          <cell r="BG71">
            <v>4.1158641378303225</v>
          </cell>
          <cell r="BH71">
            <v>-2.7385399426609988E-2</v>
          </cell>
          <cell r="BI71">
            <v>2.7246394391180416E-4</v>
          </cell>
          <cell r="BJ71">
            <v>67.215846593915117</v>
          </cell>
          <cell r="BK71">
            <v>4.9217588322362582</v>
          </cell>
          <cell r="BL71">
            <v>-3.286247931193198E-2</v>
          </cell>
          <cell r="BM71">
            <v>3.2695673269416493E-4</v>
          </cell>
          <cell r="BN71">
            <v>4.6257527943713317</v>
          </cell>
          <cell r="BO71">
            <v>5.5336252200854705</v>
          </cell>
          <cell r="BP71">
            <v>5.4241426582031291</v>
          </cell>
        </row>
        <row r="72">
          <cell r="AU72">
            <v>1.4270493889687759</v>
          </cell>
          <cell r="BE72">
            <v>2054</v>
          </cell>
          <cell r="BF72">
            <v>56.22734563788773</v>
          </cell>
          <cell r="BG72">
            <v>4.1309535809779359</v>
          </cell>
          <cell r="BH72">
            <v>-2.748743406978189E-2</v>
          </cell>
          <cell r="BI72">
            <v>2.7348847368244598E-4</v>
          </cell>
          <cell r="BJ72">
            <v>67.472814765465273</v>
          </cell>
          <cell r="BK72">
            <v>4.9398661640133934</v>
          </cell>
          <cell r="BL72">
            <v>-3.2984920883738264E-2</v>
          </cell>
          <cell r="BM72">
            <v>3.2818616841893511E-4</v>
          </cell>
          <cell r="BN72">
            <v>4.6428786812253451</v>
          </cell>
          <cell r="BO72">
            <v>5.5541762843102855</v>
          </cell>
          <cell r="BP72">
            <v>5.4442806718904064</v>
          </cell>
        </row>
        <row r="73">
          <cell r="AU73">
            <v>1.4368141452960308</v>
          </cell>
          <cell r="BE73">
            <v>2055</v>
          </cell>
          <cell r="BF73">
            <v>56.442951060416789</v>
          </cell>
          <cell r="BG73">
            <v>4.1461462754471849</v>
          </cell>
          <cell r="BH73">
            <v>-2.7590166897217917E-2</v>
          </cell>
          <cell r="BI73">
            <v>2.745200139207266E-4</v>
          </cell>
          <cell r="BJ73">
            <v>67.731541272500138</v>
          </cell>
          <cell r="BK73">
            <v>4.958097397376493</v>
          </cell>
          <cell r="BL73">
            <v>-3.3108200276661504E-2</v>
          </cell>
          <cell r="BM73">
            <v>3.294240167048719E-4</v>
          </cell>
          <cell r="BN73">
            <v>4.6601217540109108</v>
          </cell>
          <cell r="BO73">
            <v>5.5748679716529637</v>
          </cell>
          <cell r="BP73">
            <v>5.464556482347783</v>
          </cell>
        </row>
        <row r="74">
          <cell r="AU74">
            <v>1.4466457181377439</v>
          </cell>
          <cell r="BE74">
            <v>2056</v>
          </cell>
          <cell r="BF74">
            <v>56.66003178886735</v>
          </cell>
          <cell r="BG74">
            <v>4.1614429277476006</v>
          </cell>
          <cell r="BH74">
            <v>-2.7693602686327513E-2</v>
          </cell>
          <cell r="BI74">
            <v>2.7555861259661034E-4</v>
          </cell>
          <cell r="BJ74">
            <v>67.992038146640823</v>
          </cell>
          <cell r="BK74">
            <v>4.9764533801369923</v>
          </cell>
          <cell r="BL74">
            <v>-3.3232323223593013E-2</v>
          </cell>
          <cell r="BM74">
            <v>3.3067033511593238E-4</v>
          </cell>
          <cell r="BN74">
            <v>4.6774828145867957</v>
          </cell>
          <cell r="BO74">
            <v>5.5957012443440268</v>
          </cell>
          <cell r="BP74">
            <v>5.4849710324661576</v>
          </cell>
        </row>
        <row r="75">
          <cell r="AU75">
            <v>1.4565445646939164</v>
          </cell>
          <cell r="BE75">
            <v>2057</v>
          </cell>
          <cell r="BF75">
            <v>56.878597918196853</v>
          </cell>
          <cell r="BG75">
            <v>4.1768442492230937</v>
          </cell>
          <cell r="BH75">
            <v>-2.7797746247210087E-2</v>
          </cell>
          <cell r="BI75">
            <v>2.7660431800830167E-4</v>
          </cell>
          <cell r="BJ75">
            <v>68.254317501836226</v>
          </cell>
          <cell r="BK75">
            <v>4.9949349659075839</v>
          </cell>
          <cell r="BL75">
            <v>-3.3357295496652103E-2</v>
          </cell>
          <cell r="BM75">
            <v>3.3192518160996194E-4</v>
          </cell>
          <cell r="BN75">
            <v>4.6949626702985876</v>
          </cell>
          <cell r="BO75">
            <v>5.6166770711981773</v>
          </cell>
          <cell r="BP75">
            <v>5.505525271588275</v>
          </cell>
        </row>
        <row r="76">
          <cell r="AU76">
            <v>1.4665111452929953</v>
          </cell>
          <cell r="BE76">
            <v>2058</v>
          </cell>
          <cell r="BF76">
            <v>57.098659612438681</v>
          </cell>
          <cell r="BG76">
            <v>4.1923509560850274</v>
          </cell>
          <cell r="BH76">
            <v>-2.7902602422878765E-2</v>
          </cell>
          <cell r="BI76">
            <v>2.7765717878449134E-4</v>
          </cell>
          <cell r="BJ76">
            <v>68.518391534926394</v>
          </cell>
          <cell r="BK76">
            <v>5.013543014141904</v>
          </cell>
          <cell r="BL76">
            <v>-3.3483122907454518E-2</v>
          </cell>
          <cell r="BM76">
            <v>3.3318861454138956E-4</v>
          </cell>
          <cell r="BN76">
            <v>4.7125621340162285</v>
          </cell>
          <cell r="BO76">
            <v>5.6377964276593442</v>
          </cell>
          <cell r="BP76">
            <v>5.5262201555528687</v>
          </cell>
        </row>
        <row r="77">
          <cell r="AU77">
            <v>1.4765459234132801</v>
          </cell>
          <cell r="BE77">
            <v>2059</v>
          </cell>
          <cell r="BF77">
            <v>57.320227105174823</v>
          </cell>
          <cell r="BG77">
            <v>4.2079637694455254</v>
          </cell>
          <cell r="BH77">
            <v>-2.8008176089485543E-2</v>
          </cell>
          <cell r="BI77">
            <v>2.7871724388661782E-4</v>
          </cell>
          <cell r="BJ77">
            <v>68.784272526209776</v>
          </cell>
          <cell r="BK77">
            <v>5.0322783901745023</v>
          </cell>
          <cell r="BL77">
            <v>-3.360981130738265E-2</v>
          </cell>
          <cell r="BM77">
            <v>3.3446069266394136E-4</v>
          </cell>
          <cell r="BN77">
            <v>4.7302820241718164</v>
          </cell>
          <cell r="BO77">
            <v>5.6590602958460519</v>
          </cell>
          <cell r="BP77">
            <v>5.5470566467391169</v>
          </cell>
        </row>
        <row r="78">
          <cell r="BE78">
            <v>2060</v>
          </cell>
          <cell r="BF78">
            <v>57.542929085395627</v>
          </cell>
          <cell r="BG78">
            <v>4.2236565247737712</v>
          </cell>
          <cell r="BH78">
            <v>-2.81142903227702E-2</v>
          </cell>
          <cell r="BI78">
            <v>2.7978273681832539E-4</v>
          </cell>
          <cell r="BJ78">
            <v>69.05151490247475</v>
          </cell>
          <cell r="BK78">
            <v>5.0511096965683961</v>
          </cell>
          <cell r="BL78">
            <v>-3.3737148387324237E-2</v>
          </cell>
          <cell r="BM78">
            <v>3.3573928418199049E-4</v>
          </cell>
          <cell r="BN78">
            <v>4.7480926451172119</v>
          </cell>
          <cell r="BO78">
            <v>5.6804330409805255</v>
          </cell>
          <cell r="BP78">
            <v>5.5679998265834492</v>
          </cell>
        </row>
      </sheetData>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alcs"/>
      <sheetName val="Outputs"/>
    </sheetNames>
    <sheetDataSet>
      <sheetData sheetId="0" refreshError="1"/>
      <sheetData sheetId="1">
        <row r="261">
          <cell r="D261">
            <v>-4.4000000000000004</v>
          </cell>
          <cell r="E261">
            <v>-3.8</v>
          </cell>
          <cell r="F261">
            <v>-3.3</v>
          </cell>
          <cell r="G261">
            <v>-3</v>
          </cell>
          <cell r="H261">
            <v>-2.8</v>
          </cell>
          <cell r="I261">
            <v>-2.8</v>
          </cell>
        </row>
        <row r="262">
          <cell r="D262">
            <v>-5</v>
          </cell>
          <cell r="E262">
            <v>-4.3</v>
          </cell>
          <cell r="F262">
            <v>-3.8</v>
          </cell>
          <cell r="G262">
            <v>-3.3</v>
          </cell>
          <cell r="H262">
            <v>-3.1</v>
          </cell>
          <cell r="I262">
            <v>-3.1</v>
          </cell>
        </row>
        <row r="305">
          <cell r="D305">
            <v>-5.4</v>
          </cell>
          <cell r="E305">
            <v>-4.5</v>
          </cell>
          <cell r="F305">
            <v>-4</v>
          </cell>
          <cell r="G305">
            <v>-3.6</v>
          </cell>
          <cell r="H305">
            <v>-3.3</v>
          </cell>
          <cell r="I305">
            <v>-3.3</v>
          </cell>
        </row>
        <row r="306">
          <cell r="D306">
            <v>-5.6</v>
          </cell>
          <cell r="E306">
            <v>-4.7</v>
          </cell>
          <cell r="F306">
            <v>-4.3</v>
          </cell>
          <cell r="G306">
            <v>-4</v>
          </cell>
          <cell r="H306">
            <v>-3.8</v>
          </cell>
          <cell r="I306">
            <v>-3.8</v>
          </cell>
        </row>
        <row r="307">
          <cell r="D307">
            <v>-7.2</v>
          </cell>
          <cell r="E307">
            <v>-6</v>
          </cell>
          <cell r="F307">
            <v>-5.4</v>
          </cell>
          <cell r="G307">
            <v>-5</v>
          </cell>
          <cell r="H307">
            <v>-4.7</v>
          </cell>
          <cell r="I307">
            <v>-4.7</v>
          </cell>
        </row>
        <row r="308">
          <cell r="D308">
            <v>-5.2</v>
          </cell>
          <cell r="E308">
            <v>-4.4000000000000004</v>
          </cell>
          <cell r="F308">
            <v>-3.9</v>
          </cell>
          <cell r="G308">
            <v>-3.5</v>
          </cell>
          <cell r="H308">
            <v>-3.2</v>
          </cell>
          <cell r="I308">
            <v>-3.1</v>
          </cell>
        </row>
        <row r="309">
          <cell r="D309">
            <v>-5.2</v>
          </cell>
          <cell r="E309">
            <v>-4.4000000000000004</v>
          </cell>
          <cell r="F309">
            <v>-3.9</v>
          </cell>
          <cell r="G309">
            <v>-3.6</v>
          </cell>
          <cell r="H309">
            <v>-3.3</v>
          </cell>
          <cell r="I309">
            <v>-3.3</v>
          </cell>
        </row>
        <row r="310">
          <cell r="D310">
            <v>-5.7</v>
          </cell>
          <cell r="E310">
            <v>-4.8</v>
          </cell>
          <cell r="F310">
            <v>-4.3</v>
          </cell>
          <cell r="G310">
            <v>-3.9</v>
          </cell>
          <cell r="H310">
            <v>-3.7</v>
          </cell>
          <cell r="I310">
            <v>-3.7</v>
          </cell>
        </row>
        <row r="311">
          <cell r="D311">
            <v>-4.9000000000000004</v>
          </cell>
          <cell r="E311">
            <v>-4.0999999999999996</v>
          </cell>
          <cell r="F311">
            <v>-3.7</v>
          </cell>
          <cell r="G311">
            <v>-3.3</v>
          </cell>
          <cell r="H311">
            <v>-3.1</v>
          </cell>
          <cell r="I311">
            <v>-3.1</v>
          </cell>
        </row>
        <row r="312">
          <cell r="D312">
            <v>-5.5</v>
          </cell>
          <cell r="E312">
            <v>-4.5999999999999996</v>
          </cell>
          <cell r="F312">
            <v>-4.0999999999999996</v>
          </cell>
          <cell r="G312">
            <v>-3.7</v>
          </cell>
          <cell r="H312">
            <v>-3.5</v>
          </cell>
          <cell r="I312">
            <v>-3.4</v>
          </cell>
        </row>
        <row r="313">
          <cell r="D313">
            <v>-5.3</v>
          </cell>
          <cell r="E313">
            <v>-4.5</v>
          </cell>
          <cell r="F313">
            <v>-3.9</v>
          </cell>
          <cell r="G313">
            <v>-3.5</v>
          </cell>
          <cell r="H313">
            <v>-3.3</v>
          </cell>
          <cell r="I313">
            <v>-3.2</v>
          </cell>
        </row>
        <row r="314">
          <cell r="D314">
            <v>-4.9000000000000004</v>
          </cell>
          <cell r="E314">
            <v>-4.0999999999999996</v>
          </cell>
          <cell r="F314">
            <v>-3.6</v>
          </cell>
          <cell r="G314">
            <v>-3.3</v>
          </cell>
          <cell r="H314">
            <v>-3</v>
          </cell>
          <cell r="I314">
            <v>-3</v>
          </cell>
        </row>
        <row r="315">
          <cell r="D315">
            <v>-4.8</v>
          </cell>
          <cell r="E315">
            <v>-4</v>
          </cell>
          <cell r="F315">
            <v>-3.6</v>
          </cell>
          <cell r="G315">
            <v>-3.2</v>
          </cell>
          <cell r="H315">
            <v>-3</v>
          </cell>
          <cell r="I315">
            <v>-3</v>
          </cell>
        </row>
        <row r="316">
          <cell r="D316">
            <v>-5.2</v>
          </cell>
          <cell r="E316">
            <v>-4.3</v>
          </cell>
          <cell r="F316">
            <v>-3.9</v>
          </cell>
          <cell r="G316">
            <v>-3.5</v>
          </cell>
          <cell r="H316">
            <v>-3.3</v>
          </cell>
          <cell r="I316">
            <v>-3.2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8" Type="http://schemas.openxmlformats.org/officeDocument/2006/relationships/hyperlink" Target="https://www.ons.gov.uk/peoplepopulationandcommunity/populationandmigration/populationprojections/datasets/tablea11principalprojectionuksummary" TargetMode="External"/><Relationship Id="rId13" Type="http://schemas.openxmlformats.org/officeDocument/2006/relationships/hyperlink" Target="http://www.ons.gov.uk/ons/rel/npp/national-population-projections/2012-based-projections/rft-table-a1-1-principal-projection---uk-summary.xls" TargetMode="External"/><Relationship Id="rId3" Type="http://schemas.openxmlformats.org/officeDocument/2006/relationships/hyperlink" Target="http://www.ons.gov.uk/economy/grossdomesticproductgdp/timeseries/abmi" TargetMode="External"/><Relationship Id="rId7" Type="http://schemas.openxmlformats.org/officeDocument/2006/relationships/hyperlink" Target="https://www.ons.gov.uk/peoplepopulationandcommunity/populationandmigration/populationestimates/timeseries/ukpop" TargetMode="External"/><Relationship Id="rId12" Type="http://schemas.openxmlformats.org/officeDocument/2006/relationships/hyperlink" Target="http://www.ons.gov.uk/economy/grossdomesticproductgdp/timeseries/mnf2" TargetMode="External"/><Relationship Id="rId2" Type="http://schemas.openxmlformats.org/officeDocument/2006/relationships/hyperlink" Target="http://budgetresponsibility.org.uk/download/economic-and-fiscal-outlook-charts-and-tables-march-2016/" TargetMode="External"/><Relationship Id="rId1" Type="http://schemas.openxmlformats.org/officeDocument/2006/relationships/hyperlink" Target="https://www.gov.uk/government/publications/webtag-tag-unit-a1-3-user-and-provider-impacts" TargetMode="External"/><Relationship Id="rId6" Type="http://schemas.openxmlformats.org/officeDocument/2006/relationships/hyperlink" Target="http://cdn.budgetresponsibility.independent.gov.uk/49753_OBR-Fiscal-Report-Web-Accessible.pdf" TargetMode="External"/><Relationship Id="rId11" Type="http://schemas.openxmlformats.org/officeDocument/2006/relationships/hyperlink" Target="http://budgetresponsibility.org.uk/pubs/FSR-2015-Website-Charts-and-Tables.xls" TargetMode="External"/><Relationship Id="rId5" Type="http://schemas.openxmlformats.org/officeDocument/2006/relationships/hyperlink" Target="https://www.gov.uk/government/uploads/system/uploads/attachment_data/file/407641/Household_Projections_Published_Tables.ods" TargetMode="External"/><Relationship Id="rId15" Type="http://schemas.openxmlformats.org/officeDocument/2006/relationships/drawing" Target="../drawings/drawing2.xml"/><Relationship Id="rId10" Type="http://schemas.openxmlformats.org/officeDocument/2006/relationships/hyperlink" Target="http://budgetresponsibility.org.uk/pubs/FSR_2015_Supplementary_Tables.xlsx" TargetMode="External"/><Relationship Id="rId4" Type="http://schemas.openxmlformats.org/officeDocument/2006/relationships/hyperlink" Target="https://www.ons.gov.uk/peoplepopulationandcommunity/birthsdeathsandmarriages/families/datasets/familiesandhouseholdsfamiliesandhouseholds" TargetMode="External"/><Relationship Id="rId9" Type="http://schemas.openxmlformats.org/officeDocument/2006/relationships/hyperlink" Target="https://www.gov.uk/government/uploads/system/uploads/attachment_data/file/533918/GDP_Deflators_Qtrly_National_Accounts_June_2016_update.xls" TargetMode="External"/><Relationship Id="rId1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9"/>
  <sheetViews>
    <sheetView zoomScale="85" zoomScaleNormal="85" workbookViewId="0">
      <selection activeCell="C39" sqref="C39"/>
    </sheetView>
  </sheetViews>
  <sheetFormatPr defaultRowHeight="15" x14ac:dyDescent="0.25"/>
  <cols>
    <col min="1" max="1" width="3.28515625" customWidth="1"/>
    <col min="2" max="2" width="14.140625" customWidth="1"/>
    <col min="3" max="3" width="45.7109375" customWidth="1"/>
    <col min="4" max="4" width="23.7109375" customWidth="1"/>
  </cols>
  <sheetData>
    <row r="2" spans="2:4" x14ac:dyDescent="0.3">
      <c r="B2" s="391" t="s">
        <v>249</v>
      </c>
      <c r="C2" s="406" t="s">
        <v>250</v>
      </c>
      <c r="D2" s="398" t="s">
        <v>282</v>
      </c>
    </row>
    <row r="3" spans="2:4" x14ac:dyDescent="0.3">
      <c r="B3" s="391"/>
      <c r="C3" s="407" t="s">
        <v>283</v>
      </c>
      <c r="D3" s="392"/>
    </row>
    <row r="4" spans="2:4" x14ac:dyDescent="0.3">
      <c r="B4" s="393" t="s">
        <v>251</v>
      </c>
      <c r="C4" s="404" t="s">
        <v>252</v>
      </c>
      <c r="D4" s="393"/>
    </row>
    <row r="5" spans="2:4" x14ac:dyDescent="0.3">
      <c r="B5" s="393" t="s">
        <v>253</v>
      </c>
      <c r="C5" s="405">
        <v>42859</v>
      </c>
      <c r="D5" s="393"/>
    </row>
    <row r="6" spans="2:4" x14ac:dyDescent="0.3">
      <c r="B6" s="386"/>
      <c r="C6" s="401" t="s">
        <v>254</v>
      </c>
      <c r="D6" s="385"/>
    </row>
    <row r="7" spans="2:4" x14ac:dyDescent="0.3">
      <c r="B7" s="399">
        <v>100</v>
      </c>
      <c r="C7" s="401" t="s">
        <v>255</v>
      </c>
      <c r="D7" s="395">
        <v>82500</v>
      </c>
    </row>
    <row r="8" spans="2:4" x14ac:dyDescent="0.3">
      <c r="B8" s="399">
        <v>200</v>
      </c>
      <c r="C8" s="401" t="s">
        <v>256</v>
      </c>
      <c r="D8" s="395">
        <v>30000</v>
      </c>
    </row>
    <row r="9" spans="2:4" x14ac:dyDescent="0.3">
      <c r="B9" s="399">
        <v>300</v>
      </c>
      <c r="C9" s="401" t="s">
        <v>257</v>
      </c>
      <c r="D9" s="395">
        <v>6000</v>
      </c>
    </row>
    <row r="10" spans="2:4" x14ac:dyDescent="0.3">
      <c r="B10" s="399">
        <v>400</v>
      </c>
      <c r="C10" s="401" t="s">
        <v>258</v>
      </c>
      <c r="D10" s="395">
        <v>4000</v>
      </c>
    </row>
    <row r="11" spans="2:4" x14ac:dyDescent="0.3">
      <c r="B11" s="399">
        <v>500</v>
      </c>
      <c r="C11" s="401" t="s">
        <v>259</v>
      </c>
      <c r="D11" s="395">
        <v>60000</v>
      </c>
    </row>
    <row r="12" spans="2:4" x14ac:dyDescent="0.3">
      <c r="B12" s="399">
        <v>600</v>
      </c>
      <c r="C12" s="401" t="s">
        <v>260</v>
      </c>
      <c r="D12" s="395">
        <v>100000</v>
      </c>
    </row>
    <row r="13" spans="2:4" x14ac:dyDescent="0.3">
      <c r="B13" s="399">
        <v>700</v>
      </c>
      <c r="C13" s="401" t="s">
        <v>261</v>
      </c>
      <c r="D13" s="395">
        <v>100000</v>
      </c>
    </row>
    <row r="14" spans="2:4" x14ac:dyDescent="0.3">
      <c r="B14" s="399">
        <v>1100</v>
      </c>
      <c r="C14" s="401" t="s">
        <v>262</v>
      </c>
      <c r="D14" s="395">
        <v>65000</v>
      </c>
    </row>
    <row r="15" spans="2:4" x14ac:dyDescent="0.3">
      <c r="B15" s="399">
        <v>1200</v>
      </c>
      <c r="C15" s="401" t="s">
        <v>263</v>
      </c>
      <c r="D15" s="395">
        <v>15000</v>
      </c>
    </row>
    <row r="16" spans="2:4" x14ac:dyDescent="0.3">
      <c r="B16" s="399" t="s">
        <v>264</v>
      </c>
      <c r="C16" s="401" t="s">
        <v>265</v>
      </c>
      <c r="D16" s="395">
        <v>70000</v>
      </c>
    </row>
    <row r="17" spans="2:4" x14ac:dyDescent="0.3">
      <c r="B17" s="399">
        <v>1300</v>
      </c>
      <c r="C17" s="402" t="s">
        <v>266</v>
      </c>
      <c r="D17" s="395">
        <v>15000</v>
      </c>
    </row>
    <row r="18" spans="2:4" x14ac:dyDescent="0.3">
      <c r="B18" s="399">
        <v>1400</v>
      </c>
      <c r="C18" s="401" t="s">
        <v>267</v>
      </c>
      <c r="D18" s="395">
        <v>45000</v>
      </c>
    </row>
    <row r="19" spans="2:4" x14ac:dyDescent="0.3">
      <c r="B19" s="399" t="s">
        <v>268</v>
      </c>
      <c r="C19" s="401" t="s">
        <v>269</v>
      </c>
      <c r="D19" s="395">
        <v>250000</v>
      </c>
    </row>
    <row r="20" spans="2:4" x14ac:dyDescent="0.3">
      <c r="B20" s="399">
        <v>3000</v>
      </c>
      <c r="C20" s="401" t="s">
        <v>270</v>
      </c>
      <c r="D20" s="395">
        <v>10000</v>
      </c>
    </row>
    <row r="21" spans="2:4" x14ac:dyDescent="0.3">
      <c r="B21" s="399" t="s">
        <v>271</v>
      </c>
      <c r="C21" s="401" t="s">
        <v>272</v>
      </c>
      <c r="D21" s="395">
        <v>250000</v>
      </c>
    </row>
    <row r="22" spans="2:4" x14ac:dyDescent="0.3">
      <c r="B22" s="387"/>
      <c r="C22" s="403" t="s">
        <v>273</v>
      </c>
      <c r="D22" s="396">
        <f>SUM(D7:D21)</f>
        <v>1102500</v>
      </c>
    </row>
    <row r="23" spans="2:4" x14ac:dyDescent="0.3">
      <c r="B23" s="399" t="s">
        <v>274</v>
      </c>
      <c r="C23" s="401" t="s">
        <v>275</v>
      </c>
      <c r="D23" s="395">
        <v>56000</v>
      </c>
    </row>
    <row r="24" spans="2:4" x14ac:dyDescent="0.3">
      <c r="B24" s="399" t="s">
        <v>274</v>
      </c>
      <c r="C24" s="401" t="s">
        <v>276</v>
      </c>
      <c r="D24" s="395">
        <v>278000</v>
      </c>
    </row>
    <row r="25" spans="2:4" x14ac:dyDescent="0.3">
      <c r="B25" s="399" t="s">
        <v>274</v>
      </c>
      <c r="C25" s="401" t="s">
        <v>277</v>
      </c>
      <c r="D25" s="395">
        <v>750000</v>
      </c>
    </row>
    <row r="26" spans="2:4" x14ac:dyDescent="0.3">
      <c r="B26" s="399" t="s">
        <v>274</v>
      </c>
      <c r="C26" s="401" t="s">
        <v>278</v>
      </c>
      <c r="D26" s="395">
        <v>85000</v>
      </c>
    </row>
    <row r="27" spans="2:4" x14ac:dyDescent="0.3">
      <c r="B27" s="399" t="s">
        <v>274</v>
      </c>
      <c r="C27" s="401" t="s">
        <v>279</v>
      </c>
      <c r="D27" s="395">
        <v>30000</v>
      </c>
    </row>
    <row r="28" spans="2:4" x14ac:dyDescent="0.3">
      <c r="B28" s="399" t="s">
        <v>274</v>
      </c>
      <c r="C28" s="401" t="s">
        <v>280</v>
      </c>
      <c r="D28" s="395">
        <v>750000</v>
      </c>
    </row>
    <row r="29" spans="2:4" x14ac:dyDescent="0.3">
      <c r="B29" s="400" t="s">
        <v>281</v>
      </c>
      <c r="C29" s="394"/>
      <c r="D29" s="397">
        <f>SUM(D22:D28)</f>
        <v>3051500</v>
      </c>
    </row>
  </sheetData>
  <pageMargins left="0.7" right="0.7" top="0.75" bottom="0.75" header="0.3" footer="0.3"/>
  <pageSetup paperSize="8"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N111"/>
  <sheetViews>
    <sheetView zoomScale="90" zoomScaleNormal="90" workbookViewId="0">
      <selection activeCell="H16" sqref="H16"/>
    </sheetView>
  </sheetViews>
  <sheetFormatPr defaultColWidth="9.140625" defaultRowHeight="15" x14ac:dyDescent="0.25"/>
  <cols>
    <col min="1" max="1" width="7.28515625" style="308" customWidth="1"/>
    <col min="2" max="2" width="15" style="2" customWidth="1"/>
    <col min="3" max="9" width="10.5703125" style="2" customWidth="1"/>
    <col min="10" max="14" width="12.5703125" style="2" customWidth="1"/>
    <col min="15" max="15" width="16.28515625" style="2" customWidth="1"/>
    <col min="16" max="16" width="12.5703125" style="2" customWidth="1"/>
    <col min="17" max="17" width="14.28515625" style="2" customWidth="1"/>
    <col min="18" max="18" width="16.7109375" style="2" customWidth="1"/>
    <col min="19" max="19" width="15.42578125" style="2" customWidth="1"/>
    <col min="20" max="20" width="14.7109375" style="2" customWidth="1"/>
    <col min="21" max="23" width="12.5703125" style="2" customWidth="1"/>
    <col min="24" max="24" width="13.85546875" style="2" customWidth="1"/>
    <col min="25" max="27" width="12.5703125" style="2" customWidth="1"/>
    <col min="28" max="16384" width="9.140625" style="2"/>
  </cols>
  <sheetData>
    <row r="1" spans="1:40" s="12" customFormat="1" ht="15.75" thickBot="1" x14ac:dyDescent="0.3">
      <c r="A1" s="307"/>
      <c r="B1" s="501"/>
      <c r="C1" s="496" t="s">
        <v>99</v>
      </c>
      <c r="D1" s="497"/>
      <c r="E1" s="497"/>
      <c r="F1" s="498"/>
      <c r="AF1" s="72"/>
      <c r="AG1" s="72"/>
      <c r="AH1" s="72"/>
      <c r="AI1" s="72"/>
      <c r="AJ1" s="72"/>
      <c r="AK1" s="72"/>
      <c r="AL1" s="72"/>
      <c r="AM1" s="72"/>
      <c r="AN1" s="72"/>
    </row>
    <row r="2" spans="1:40" ht="15.75" thickBot="1" x14ac:dyDescent="0.25">
      <c r="B2" s="502"/>
      <c r="C2" s="290" t="s">
        <v>92</v>
      </c>
      <c r="D2" s="291" t="s">
        <v>8</v>
      </c>
      <c r="E2" s="291" t="s">
        <v>91</v>
      </c>
      <c r="F2" s="292" t="s">
        <v>90</v>
      </c>
      <c r="N2" s="8"/>
      <c r="O2" s="8"/>
      <c r="P2" s="8"/>
      <c r="Q2" s="8"/>
      <c r="R2" s="8"/>
      <c r="S2" s="8"/>
      <c r="T2" s="8"/>
      <c r="U2" s="8"/>
      <c r="V2" s="8"/>
      <c r="W2" s="8"/>
      <c r="X2" s="8"/>
      <c r="Y2" s="8"/>
      <c r="AF2" s="22"/>
      <c r="AG2" s="22"/>
      <c r="AH2" s="22"/>
      <c r="AI2" s="22"/>
      <c r="AJ2" s="22"/>
      <c r="AK2" s="22"/>
      <c r="AL2" s="22"/>
      <c r="AM2" s="22"/>
      <c r="AN2" s="22"/>
    </row>
    <row r="3" spans="1:40" ht="15" customHeight="1" x14ac:dyDescent="0.2">
      <c r="B3" s="287" t="s">
        <v>1</v>
      </c>
      <c r="C3" s="428">
        <f>'Model Outputs'!C24</f>
        <v>96.648226488773176</v>
      </c>
      <c r="D3" s="429">
        <f>'Model Outputs'!D24</f>
        <v>0</v>
      </c>
      <c r="E3" s="429">
        <f>'Model Outputs'!E24</f>
        <v>0</v>
      </c>
      <c r="F3" s="430">
        <f>'Model Outputs'!F24</f>
        <v>3.3517735112268139</v>
      </c>
      <c r="G3" s="492" t="s">
        <v>205</v>
      </c>
      <c r="H3" s="492"/>
      <c r="I3" s="493"/>
      <c r="N3" s="8"/>
      <c r="O3" s="8"/>
      <c r="P3" s="8"/>
      <c r="Q3" s="8"/>
      <c r="R3" s="8"/>
      <c r="S3" s="8"/>
      <c r="T3" s="8"/>
      <c r="U3" s="8"/>
      <c r="V3" s="8"/>
      <c r="W3" s="8"/>
      <c r="X3" s="8"/>
      <c r="Y3" s="8"/>
      <c r="AF3" s="22"/>
      <c r="AG3" s="22"/>
      <c r="AH3" s="22"/>
      <c r="AI3" s="22"/>
      <c r="AJ3" s="22"/>
      <c r="AK3" s="22"/>
      <c r="AL3" s="22"/>
      <c r="AM3" s="22"/>
      <c r="AN3" s="22"/>
    </row>
    <row r="4" spans="1:40" x14ac:dyDescent="0.2">
      <c r="B4" s="288" t="s">
        <v>100</v>
      </c>
      <c r="C4" s="431">
        <f>'Model Outputs'!C25</f>
        <v>100</v>
      </c>
      <c r="D4" s="309">
        <f>'Model Outputs'!D25</f>
        <v>0</v>
      </c>
      <c r="E4" s="309">
        <f>'Model Outputs'!E25</f>
        <v>0</v>
      </c>
      <c r="F4" s="432">
        <f>'Model Outputs'!F25</f>
        <v>0</v>
      </c>
      <c r="G4" s="504"/>
      <c r="H4" s="504"/>
      <c r="I4" s="505"/>
      <c r="V4" s="8"/>
      <c r="W4" s="8"/>
      <c r="X4" s="8"/>
      <c r="Y4" s="8"/>
      <c r="AF4" s="23"/>
      <c r="AG4" s="23"/>
      <c r="AH4" s="24"/>
      <c r="AI4" s="24"/>
      <c r="AJ4" s="24"/>
      <c r="AK4" s="25"/>
      <c r="AL4" s="24"/>
      <c r="AM4" s="24"/>
      <c r="AN4" s="24"/>
    </row>
    <row r="5" spans="1:40" ht="15.75" customHeight="1" x14ac:dyDescent="0.2">
      <c r="B5" s="288" t="s">
        <v>0</v>
      </c>
      <c r="C5" s="431">
        <f>'Model Outputs'!C26</f>
        <v>96.634189548272815</v>
      </c>
      <c r="D5" s="309">
        <f>'Model Outputs'!D26</f>
        <v>0</v>
      </c>
      <c r="E5" s="309">
        <f>'Model Outputs'!E26</f>
        <v>0</v>
      </c>
      <c r="F5" s="432">
        <f>'Model Outputs'!F26</f>
        <v>3.3658104517271923</v>
      </c>
      <c r="G5" s="504"/>
      <c r="H5" s="504"/>
      <c r="I5" s="505"/>
      <c r="V5" s="8"/>
      <c r="W5" s="8"/>
      <c r="X5" s="8"/>
      <c r="Y5" s="8"/>
      <c r="AF5" s="23"/>
      <c r="AG5" s="23"/>
      <c r="AH5" s="24"/>
      <c r="AI5" s="24"/>
      <c r="AJ5" s="24"/>
      <c r="AK5" s="24"/>
      <c r="AL5" s="24"/>
      <c r="AM5" s="24"/>
      <c r="AN5" s="24"/>
    </row>
    <row r="6" spans="1:40" ht="15.75" thickBot="1" x14ac:dyDescent="0.25">
      <c r="B6" s="289" t="s">
        <v>101</v>
      </c>
      <c r="C6" s="433">
        <f>'Model Outputs'!C27</f>
        <v>100</v>
      </c>
      <c r="D6" s="434">
        <f>'Model Outputs'!D27</f>
        <v>0</v>
      </c>
      <c r="E6" s="434">
        <f>'Model Outputs'!E27</f>
        <v>0</v>
      </c>
      <c r="F6" s="435">
        <f>'Model Outputs'!F27</f>
        <v>0</v>
      </c>
      <c r="G6" s="494"/>
      <c r="H6" s="494"/>
      <c r="I6" s="495"/>
      <c r="V6" s="8"/>
      <c r="W6" s="8"/>
      <c r="X6" s="8"/>
      <c r="Y6" s="8"/>
      <c r="AF6" s="23"/>
      <c r="AG6" s="23"/>
      <c r="AH6" s="24"/>
      <c r="AI6" s="24"/>
      <c r="AJ6" s="24"/>
      <c r="AK6" s="24"/>
      <c r="AL6" s="24"/>
      <c r="AM6" s="24"/>
      <c r="AN6" s="24"/>
    </row>
    <row r="7" spans="1:40" thickBot="1" x14ac:dyDescent="0.3">
      <c r="V7" s="8"/>
      <c r="W7" s="8"/>
      <c r="X7" s="8"/>
      <c r="Y7" s="8"/>
      <c r="AF7" s="23"/>
      <c r="AG7" s="23"/>
      <c r="AH7" s="24"/>
      <c r="AI7" s="24"/>
      <c r="AJ7" s="24"/>
      <c r="AK7" s="24"/>
      <c r="AL7" s="24"/>
      <c r="AM7" s="24"/>
      <c r="AN7" s="24"/>
    </row>
    <row r="8" spans="1:40" thickBot="1" x14ac:dyDescent="0.3">
      <c r="B8" s="286" t="s">
        <v>106</v>
      </c>
      <c r="C8" s="285" t="s">
        <v>1</v>
      </c>
      <c r="D8" s="283" t="s">
        <v>100</v>
      </c>
      <c r="E8" s="283" t="s">
        <v>0</v>
      </c>
      <c r="F8" s="284" t="s">
        <v>101</v>
      </c>
      <c r="N8" s="8"/>
      <c r="O8" s="8"/>
      <c r="P8" s="8"/>
      <c r="Q8" s="8"/>
      <c r="R8" s="8"/>
      <c r="S8" s="8"/>
      <c r="T8" s="8"/>
      <c r="U8" s="8"/>
      <c r="V8" s="8"/>
      <c r="W8" s="8"/>
      <c r="X8" s="8"/>
      <c r="Y8" s="8"/>
      <c r="AF8" s="23"/>
      <c r="AG8" s="23"/>
      <c r="AH8" s="24"/>
      <c r="AI8" s="24"/>
      <c r="AJ8" s="24"/>
      <c r="AK8" s="24"/>
      <c r="AL8" s="24"/>
      <c r="AM8" s="24"/>
      <c r="AN8" s="24"/>
    </row>
    <row r="9" spans="1:40" ht="15" customHeight="1" x14ac:dyDescent="0.2">
      <c r="B9" s="287" t="s">
        <v>4</v>
      </c>
      <c r="C9" s="319">
        <f>'Model Outputs'!C30</f>
        <v>16.459385289942354</v>
      </c>
      <c r="D9" s="320">
        <f>'Model Outputs'!C31</f>
        <v>16.469988489431714</v>
      </c>
      <c r="E9" s="320">
        <f>'Model Outputs'!C32</f>
        <v>11.806951255862748</v>
      </c>
      <c r="F9" s="321">
        <f>'Model Outputs'!C33</f>
        <v>12.87839002123401</v>
      </c>
      <c r="G9" s="492" t="s">
        <v>205</v>
      </c>
      <c r="H9" s="492"/>
      <c r="I9" s="493"/>
      <c r="N9" s="8"/>
      <c r="O9" s="8"/>
      <c r="P9" s="8"/>
      <c r="Q9" s="8"/>
      <c r="R9" s="8"/>
      <c r="S9" s="8"/>
      <c r="T9" s="8"/>
      <c r="U9" s="8"/>
      <c r="V9" s="8"/>
      <c r="W9" s="8"/>
      <c r="X9" s="8"/>
      <c r="Y9" s="8"/>
      <c r="AF9" s="23"/>
      <c r="AG9" s="23"/>
      <c r="AH9" s="24"/>
      <c r="AI9" s="24"/>
      <c r="AJ9" s="24"/>
      <c r="AK9" s="24"/>
      <c r="AL9" s="24"/>
      <c r="AM9" s="24"/>
      <c r="AN9" s="24"/>
    </row>
    <row r="10" spans="1:40" ht="15" customHeight="1" x14ac:dyDescent="0.2">
      <c r="B10" s="288" t="s">
        <v>89</v>
      </c>
      <c r="C10" s="322">
        <f>'Model Outputs'!D30</f>
        <v>44.0642044603279</v>
      </c>
      <c r="D10" s="323">
        <f>'Model Outputs'!D31</f>
        <v>11.805618519478546</v>
      </c>
      <c r="E10" s="323">
        <f>'Model Outputs'!D32</f>
        <v>41.265765973847898</v>
      </c>
      <c r="F10" s="324">
        <f>'Model Outputs'!D33</f>
        <v>38.544312764290439</v>
      </c>
      <c r="G10" s="504"/>
      <c r="H10" s="504"/>
      <c r="I10" s="505"/>
      <c r="N10" s="8"/>
      <c r="O10" s="8"/>
      <c r="P10" s="8"/>
      <c r="Q10" s="8"/>
      <c r="R10" s="8"/>
      <c r="S10" s="8"/>
      <c r="T10" s="8"/>
      <c r="U10" s="8"/>
      <c r="V10" s="8"/>
      <c r="W10" s="8"/>
      <c r="X10" s="8"/>
      <c r="Y10" s="8"/>
      <c r="AF10" s="23"/>
      <c r="AG10" s="23"/>
      <c r="AH10" s="24"/>
      <c r="AI10" s="24"/>
      <c r="AJ10" s="24"/>
      <c r="AK10" s="24"/>
      <c r="AL10" s="24"/>
      <c r="AM10" s="24"/>
      <c r="AN10" s="24"/>
    </row>
    <row r="11" spans="1:40" ht="15" customHeight="1" thickBot="1" x14ac:dyDescent="0.25">
      <c r="B11" s="289" t="s">
        <v>105</v>
      </c>
      <c r="C11" s="325">
        <f>'Model Outputs'!E30</f>
        <v>39.476410249729753</v>
      </c>
      <c r="D11" s="326">
        <f>'Model Outputs'!E31</f>
        <v>71.724392991089715</v>
      </c>
      <c r="E11" s="326">
        <f>'Model Outputs'!E32</f>
        <v>46.927282770289352</v>
      </c>
      <c r="F11" s="327">
        <f>'Model Outputs'!E33</f>
        <v>48.577297214475557</v>
      </c>
      <c r="G11" s="494"/>
      <c r="H11" s="494"/>
      <c r="I11" s="495"/>
      <c r="N11" s="8"/>
      <c r="O11" s="8"/>
      <c r="P11" s="8"/>
      <c r="Q11" s="8"/>
      <c r="R11" s="8"/>
      <c r="S11" s="8"/>
      <c r="T11" s="8"/>
      <c r="U11" s="8"/>
      <c r="V11" s="8"/>
      <c r="W11" s="8"/>
      <c r="X11" s="8"/>
      <c r="Y11" s="8"/>
      <c r="AF11" s="23"/>
      <c r="AG11" s="23"/>
      <c r="AH11" s="24"/>
      <c r="AI11" s="24"/>
      <c r="AJ11" s="24"/>
      <c r="AK11" s="24"/>
      <c r="AL11" s="24"/>
      <c r="AM11" s="24"/>
      <c r="AN11" s="24"/>
    </row>
    <row r="12" spans="1:40" thickBot="1" x14ac:dyDescent="0.3">
      <c r="C12" s="3"/>
      <c r="N12" s="8"/>
      <c r="O12" s="8"/>
      <c r="P12" s="8"/>
      <c r="Q12" s="8"/>
      <c r="R12" s="8"/>
      <c r="S12" s="8"/>
      <c r="T12" s="8"/>
      <c r="U12" s="8"/>
      <c r="AF12" s="23"/>
      <c r="AG12" s="23"/>
      <c r="AH12" s="26"/>
      <c r="AI12" s="24"/>
      <c r="AJ12" s="26"/>
      <c r="AK12" s="26"/>
      <c r="AL12" s="24"/>
      <c r="AM12" s="26"/>
      <c r="AN12" s="24"/>
    </row>
    <row r="13" spans="1:40" thickBot="1" x14ac:dyDescent="0.3">
      <c r="B13" s="19"/>
      <c r="C13" s="496" t="s">
        <v>1</v>
      </c>
      <c r="D13" s="497"/>
      <c r="E13" s="497"/>
      <c r="F13" s="497"/>
      <c r="G13" s="497"/>
      <c r="H13" s="498"/>
      <c r="AH13" s="26"/>
      <c r="AI13" s="24"/>
      <c r="AJ13" s="26"/>
      <c r="AK13" s="26"/>
      <c r="AL13" s="24"/>
      <c r="AM13" s="26"/>
      <c r="AN13" s="24"/>
    </row>
    <row r="14" spans="1:40" thickBot="1" x14ac:dyDescent="0.3">
      <c r="B14" s="19"/>
      <c r="C14" s="14" t="s">
        <v>87</v>
      </c>
      <c r="D14" s="13" t="s">
        <v>86</v>
      </c>
      <c r="E14" s="13" t="s">
        <v>85</v>
      </c>
      <c r="F14" s="13" t="s">
        <v>84</v>
      </c>
      <c r="G14" s="13" t="s">
        <v>83</v>
      </c>
      <c r="H14" s="281" t="s">
        <v>82</v>
      </c>
      <c r="AH14" s="26"/>
      <c r="AI14" s="24"/>
      <c r="AJ14" s="26"/>
      <c r="AK14" s="26"/>
      <c r="AL14" s="24"/>
      <c r="AM14" s="26"/>
      <c r="AN14" s="24"/>
    </row>
    <row r="15" spans="1:40" x14ac:dyDescent="0.2">
      <c r="B15" s="19"/>
      <c r="C15" s="328">
        <f>C3*C9/10000</f>
        <v>0.15907703973683301</v>
      </c>
      <c r="D15" s="329">
        <f>C3*C10/10000</f>
        <v>0.42587272127293802</v>
      </c>
      <c r="E15" s="329">
        <f>C3*C11/10000</f>
        <v>0.38153250387796078</v>
      </c>
      <c r="F15" s="329">
        <f>D3/100</f>
        <v>0</v>
      </c>
      <c r="G15" s="329">
        <f>E3/100</f>
        <v>0</v>
      </c>
      <c r="H15" s="330">
        <f>F3/100</f>
        <v>3.3517735112268139E-2</v>
      </c>
      <c r="I15" s="492" t="s">
        <v>206</v>
      </c>
      <c r="J15" s="492"/>
      <c r="K15" s="493"/>
      <c r="M15" s="3"/>
      <c r="AH15" s="24"/>
      <c r="AI15" s="24"/>
      <c r="AJ15" s="24"/>
      <c r="AK15" s="24"/>
      <c r="AL15" s="24"/>
      <c r="AM15" s="24"/>
      <c r="AN15" s="24"/>
    </row>
    <row r="16" spans="1:40" ht="15" customHeight="1" thickBot="1" x14ac:dyDescent="0.25">
      <c r="B16" s="19"/>
      <c r="C16" s="316">
        <f>A1.3.5!D5</f>
        <v>19.999723130530565</v>
      </c>
      <c r="D16" s="317">
        <f>A1.3.5!D6</f>
        <v>11.270862371732015</v>
      </c>
      <c r="E16" s="317">
        <f>A1.3.5!D7</f>
        <v>7.7760218476864438</v>
      </c>
      <c r="F16" s="317">
        <f>A1.3.5!D11</f>
        <v>13.932689107150736</v>
      </c>
      <c r="G16" s="317">
        <f>A1.3.5!D12</f>
        <v>14.350951963873458</v>
      </c>
      <c r="H16" s="318">
        <f>A1.3.5!D17</f>
        <v>83.177121697710106</v>
      </c>
      <c r="I16" s="494"/>
      <c r="J16" s="494"/>
      <c r="K16" s="495"/>
      <c r="AH16" s="24"/>
      <c r="AI16" s="24"/>
      <c r="AJ16" s="24"/>
      <c r="AK16" s="24"/>
      <c r="AL16" s="24"/>
      <c r="AM16" s="24"/>
      <c r="AN16" s="24"/>
    </row>
    <row r="17" spans="1:40" thickBot="1" x14ac:dyDescent="0.3">
      <c r="B17" s="19"/>
      <c r="C17" s="331">
        <f>C16*C15/SUMPRODUCT($C$15:$H$15,$C$16:$H$16)</f>
        <v>0.23161465533063147</v>
      </c>
      <c r="D17" s="332">
        <f t="shared" ref="D17:H17" si="0">D16*D15/SUMPRODUCT($C$15:$H$15,$C$16:$H$16)</f>
        <v>0.34943911847958886</v>
      </c>
      <c r="E17" s="332">
        <f t="shared" si="0"/>
        <v>0.21598498792121121</v>
      </c>
      <c r="F17" s="332">
        <f t="shared" si="0"/>
        <v>0</v>
      </c>
      <c r="G17" s="332">
        <f t="shared" si="0"/>
        <v>0</v>
      </c>
      <c r="H17" s="333">
        <f t="shared" si="0"/>
        <v>0.20296123826856838</v>
      </c>
      <c r="AH17" s="24"/>
      <c r="AI17" s="24"/>
      <c r="AJ17" s="24"/>
      <c r="AK17" s="24"/>
      <c r="AL17" s="24"/>
      <c r="AM17" s="24"/>
      <c r="AN17" s="24"/>
    </row>
    <row r="18" spans="1:40" ht="14.45" x14ac:dyDescent="0.25">
      <c r="B18" s="282" t="s">
        <v>81</v>
      </c>
      <c r="C18" s="10">
        <f>C15+G15+0.88*F15+H15*0.015</f>
        <v>0.15957980576351705</v>
      </c>
      <c r="D18" s="11"/>
      <c r="E18" s="11"/>
      <c r="F18" s="12"/>
      <c r="G18" s="12"/>
      <c r="H18" s="12"/>
      <c r="AH18" s="24"/>
      <c r="AI18" s="24"/>
      <c r="AJ18" s="24"/>
      <c r="AK18" s="24"/>
      <c r="AL18" s="24"/>
      <c r="AM18" s="24"/>
      <c r="AN18" s="24"/>
    </row>
    <row r="19" spans="1:40" thickBot="1" x14ac:dyDescent="0.3">
      <c r="B19" s="279" t="s">
        <v>80</v>
      </c>
      <c r="C19" s="10">
        <f>C17+G17+0.88*F17+H17*0.015</f>
        <v>0.23465907390465998</v>
      </c>
      <c r="D19" s="499"/>
      <c r="E19" s="499"/>
      <c r="F19" s="5"/>
      <c r="H19" s="6"/>
      <c r="AH19" s="24"/>
      <c r="AI19" s="24"/>
      <c r="AJ19" s="24"/>
      <c r="AK19" s="24"/>
      <c r="AL19" s="24"/>
      <c r="AM19" s="24"/>
      <c r="AN19" s="24"/>
    </row>
    <row r="20" spans="1:40" s="71" customFormat="1" thickBot="1" x14ac:dyDescent="0.3">
      <c r="A20" s="308"/>
      <c r="B20" s="19"/>
      <c r="C20" s="496" t="s">
        <v>100</v>
      </c>
      <c r="D20" s="497"/>
      <c r="E20" s="497"/>
      <c r="F20" s="497"/>
      <c r="G20" s="497"/>
      <c r="H20" s="498"/>
      <c r="AH20" s="24"/>
      <c r="AI20" s="24"/>
      <c r="AJ20" s="24"/>
      <c r="AK20" s="24"/>
      <c r="AL20" s="24"/>
      <c r="AM20" s="24"/>
      <c r="AN20" s="24"/>
    </row>
    <row r="21" spans="1:40" s="71" customFormat="1" thickBot="1" x14ac:dyDescent="0.3">
      <c r="A21" s="308"/>
      <c r="B21" s="19"/>
      <c r="C21" s="14" t="s">
        <v>87</v>
      </c>
      <c r="D21" s="13" t="s">
        <v>86</v>
      </c>
      <c r="E21" s="13" t="s">
        <v>85</v>
      </c>
      <c r="F21" s="13" t="s">
        <v>84</v>
      </c>
      <c r="G21" s="13" t="s">
        <v>83</v>
      </c>
      <c r="H21" s="281" t="s">
        <v>82</v>
      </c>
      <c r="AH21" s="24"/>
      <c r="AI21" s="24"/>
      <c r="AJ21" s="24"/>
      <c r="AK21" s="24"/>
      <c r="AL21" s="24"/>
      <c r="AM21" s="24"/>
      <c r="AN21" s="24"/>
    </row>
    <row r="22" spans="1:40" s="71" customFormat="1" x14ac:dyDescent="0.2">
      <c r="A22" s="308"/>
      <c r="B22" s="19"/>
      <c r="C22" s="328">
        <f>C4*D9/10000</f>
        <v>0.16469988489431714</v>
      </c>
      <c r="D22" s="329">
        <f>C4*D10/10000</f>
        <v>0.11805618519478546</v>
      </c>
      <c r="E22" s="329">
        <f>C4*D11/10000</f>
        <v>0.71724392991089714</v>
      </c>
      <c r="F22" s="329">
        <f>D4/100</f>
        <v>0</v>
      </c>
      <c r="G22" s="329">
        <f>E4/100</f>
        <v>0</v>
      </c>
      <c r="H22" s="330">
        <f>F4/100</f>
        <v>0</v>
      </c>
      <c r="I22" s="492" t="s">
        <v>206</v>
      </c>
      <c r="J22" s="492"/>
      <c r="K22" s="493"/>
      <c r="AH22" s="24"/>
      <c r="AI22" s="24"/>
      <c r="AJ22" s="24"/>
      <c r="AK22" s="24"/>
      <c r="AL22" s="24"/>
      <c r="AM22" s="24"/>
      <c r="AN22" s="24"/>
    </row>
    <row r="23" spans="1:40" s="71" customFormat="1" ht="15.75" thickBot="1" x14ac:dyDescent="0.25">
      <c r="A23" s="308"/>
      <c r="B23" s="19"/>
      <c r="C23" s="316">
        <f>A1.3.5!E5</f>
        <v>20.494168490363094</v>
      </c>
      <c r="D23" s="317">
        <f>A1.3.5!E6</f>
        <v>11.454127644907835</v>
      </c>
      <c r="E23" s="317">
        <f>A1.3.5!E7</f>
        <v>8.2833001204758325</v>
      </c>
      <c r="F23" s="317">
        <f>A1.3.5!E11</f>
        <v>13.932689107150736</v>
      </c>
      <c r="G23" s="317">
        <f>A1.3.5!E12</f>
        <v>14.350951963873458</v>
      </c>
      <c r="H23" s="318">
        <f>A1.3.5!E17</f>
        <v>75.455866094519621</v>
      </c>
      <c r="I23" s="494"/>
      <c r="J23" s="494"/>
      <c r="K23" s="495"/>
      <c r="AH23" s="24"/>
      <c r="AI23" s="24"/>
      <c r="AJ23" s="24"/>
      <c r="AK23" s="24"/>
      <c r="AL23" s="24"/>
      <c r="AM23" s="24"/>
      <c r="AN23" s="24"/>
    </row>
    <row r="24" spans="1:40" s="71" customFormat="1" thickBot="1" x14ac:dyDescent="0.3">
      <c r="A24" s="308"/>
      <c r="B24" s="19"/>
      <c r="C24" s="331">
        <f t="shared" ref="C24:H24" si="1">C23*C22/SUMPRODUCT($C$22:$H$22,$C$23:$H$23)</f>
        <v>0.31638032498447188</v>
      </c>
      <c r="D24" s="332">
        <f t="shared" si="1"/>
        <v>0.1267466921605471</v>
      </c>
      <c r="E24" s="332">
        <f t="shared" si="1"/>
        <v>0.5568729828549811</v>
      </c>
      <c r="F24" s="332">
        <f t="shared" si="1"/>
        <v>0</v>
      </c>
      <c r="G24" s="332">
        <f t="shared" si="1"/>
        <v>0</v>
      </c>
      <c r="H24" s="333">
        <f t="shared" si="1"/>
        <v>0</v>
      </c>
      <c r="AH24" s="24"/>
      <c r="AI24" s="24"/>
      <c r="AJ24" s="24"/>
      <c r="AK24" s="24"/>
      <c r="AL24" s="24"/>
      <c r="AM24" s="24"/>
      <c r="AN24" s="24"/>
    </row>
    <row r="25" spans="1:40" s="71" customFormat="1" ht="14.45" x14ac:dyDescent="0.25">
      <c r="A25" s="308"/>
      <c r="B25" s="282" t="s">
        <v>81</v>
      </c>
      <c r="C25" s="9">
        <f>C22+G22+0.88*F22+H22*0.018</f>
        <v>0.16469988489431714</v>
      </c>
      <c r="D25" s="11"/>
      <c r="E25" s="11"/>
      <c r="F25" s="2"/>
      <c r="G25" s="2"/>
      <c r="H25" s="2"/>
      <c r="AH25" s="24"/>
      <c r="AI25" s="24"/>
      <c r="AJ25" s="24"/>
      <c r="AK25" s="24"/>
      <c r="AL25" s="24"/>
      <c r="AM25" s="24"/>
      <c r="AN25" s="24"/>
    </row>
    <row r="26" spans="1:40" s="71" customFormat="1" thickBot="1" x14ac:dyDescent="0.3">
      <c r="A26" s="308"/>
      <c r="B26" s="279" t="s">
        <v>80</v>
      </c>
      <c r="C26" s="9">
        <f>C24+G24+0.88*F24+H24*0.018</f>
        <v>0.31638032498447188</v>
      </c>
      <c r="D26" s="2"/>
      <c r="E26" s="2"/>
      <c r="F26" s="2"/>
      <c r="G26" s="2"/>
      <c r="H26" s="2"/>
      <c r="AH26" s="24"/>
      <c r="AI26" s="24"/>
      <c r="AJ26" s="24"/>
      <c r="AK26" s="24"/>
      <c r="AL26" s="24"/>
      <c r="AM26" s="24"/>
      <c r="AN26" s="24"/>
    </row>
    <row r="27" spans="1:40" s="71" customFormat="1" thickBot="1" x14ac:dyDescent="0.3">
      <c r="A27" s="308"/>
      <c r="B27" s="19"/>
      <c r="C27" s="496" t="s">
        <v>0</v>
      </c>
      <c r="D27" s="497"/>
      <c r="E27" s="497"/>
      <c r="F27" s="497"/>
      <c r="G27" s="497"/>
      <c r="H27" s="498"/>
      <c r="AH27" s="24"/>
      <c r="AI27" s="24"/>
      <c r="AJ27" s="24"/>
      <c r="AK27" s="24"/>
      <c r="AL27" s="24"/>
      <c r="AM27" s="24"/>
      <c r="AN27" s="24"/>
    </row>
    <row r="28" spans="1:40" s="71" customFormat="1" ht="15.75" thickBot="1" x14ac:dyDescent="0.25">
      <c r="A28" s="308"/>
      <c r="B28" s="19"/>
      <c r="C28" s="14" t="s">
        <v>87</v>
      </c>
      <c r="D28" s="13" t="s">
        <v>86</v>
      </c>
      <c r="E28" s="13" t="s">
        <v>85</v>
      </c>
      <c r="F28" s="13" t="s">
        <v>84</v>
      </c>
      <c r="G28" s="13" t="s">
        <v>83</v>
      </c>
      <c r="H28" s="281" t="s">
        <v>82</v>
      </c>
      <c r="AH28" s="24"/>
      <c r="AI28" s="24"/>
      <c r="AJ28" s="24"/>
      <c r="AK28" s="24"/>
      <c r="AL28" s="24"/>
      <c r="AM28" s="24"/>
      <c r="AN28" s="24"/>
    </row>
    <row r="29" spans="1:40" s="71" customFormat="1" x14ac:dyDescent="0.2">
      <c r="A29" s="308"/>
      <c r="B29" s="19"/>
      <c r="C29" s="328">
        <f>C5*E9/10000</f>
        <v>0.11409551656462585</v>
      </c>
      <c r="D29" s="329">
        <f>C5*E10/10000</f>
        <v>0.39876838509714846</v>
      </c>
      <c r="E29" s="329">
        <f>C5*E11/10000</f>
        <v>0.45347799382095383</v>
      </c>
      <c r="F29" s="329">
        <f>D5/100</f>
        <v>0</v>
      </c>
      <c r="G29" s="329">
        <f>E5/100</f>
        <v>0</v>
      </c>
      <c r="H29" s="330">
        <f>F5/100</f>
        <v>3.3658104517271921E-2</v>
      </c>
      <c r="I29" s="492" t="s">
        <v>206</v>
      </c>
      <c r="J29" s="492"/>
      <c r="K29" s="493"/>
      <c r="AH29" s="24"/>
      <c r="AI29" s="24"/>
      <c r="AJ29" s="24"/>
      <c r="AK29" s="24"/>
      <c r="AL29" s="24"/>
      <c r="AM29" s="24"/>
      <c r="AN29" s="24"/>
    </row>
    <row r="30" spans="1:40" s="71" customFormat="1" ht="15.75" thickBot="1" x14ac:dyDescent="0.25">
      <c r="A30" s="308"/>
      <c r="B30" s="19"/>
      <c r="C30" s="316">
        <f>A1.3.5!F5</f>
        <v>20.288349647451106</v>
      </c>
      <c r="D30" s="317">
        <f>A1.3.5!F6</f>
        <v>11.309739599833186</v>
      </c>
      <c r="E30" s="317">
        <f>A1.3.5!F7</f>
        <v>8.1431097826307859</v>
      </c>
      <c r="F30" s="317">
        <f>A1.3.5!F11</f>
        <v>13.932689107150736</v>
      </c>
      <c r="G30" s="317">
        <f>A1.3.5!F12</f>
        <v>14.350951963873458</v>
      </c>
      <c r="H30" s="318">
        <f>A1.3.5!F17</f>
        <v>88.726939113815234</v>
      </c>
      <c r="I30" s="494"/>
      <c r="J30" s="494"/>
      <c r="K30" s="495"/>
      <c r="AH30" s="24"/>
      <c r="AI30" s="24"/>
      <c r="AJ30" s="24"/>
      <c r="AK30" s="24"/>
      <c r="AL30" s="24"/>
      <c r="AM30" s="24"/>
      <c r="AN30" s="24"/>
    </row>
    <row r="31" spans="1:40" s="71" customFormat="1" ht="15.75" thickBot="1" x14ac:dyDescent="0.25">
      <c r="A31" s="308"/>
      <c r="B31" s="19"/>
      <c r="C31" s="331">
        <f t="shared" ref="C31:H31" si="2">C30*C29/SUMPRODUCT($C$29:$H$29,$C$30:$H$30)</f>
        <v>0.17141814610792369</v>
      </c>
      <c r="D31" s="332">
        <f t="shared" si="2"/>
        <v>0.33397566193020628</v>
      </c>
      <c r="E31" s="332">
        <f t="shared" si="2"/>
        <v>0.27345634237140748</v>
      </c>
      <c r="F31" s="332">
        <f t="shared" si="2"/>
        <v>0</v>
      </c>
      <c r="G31" s="332">
        <f t="shared" si="2"/>
        <v>0</v>
      </c>
      <c r="H31" s="333">
        <f t="shared" si="2"/>
        <v>0.22114984959046247</v>
      </c>
      <c r="AH31" s="24"/>
      <c r="AI31" s="24"/>
      <c r="AJ31" s="24"/>
      <c r="AK31" s="24"/>
      <c r="AL31" s="24"/>
      <c r="AM31" s="24"/>
      <c r="AN31" s="24"/>
    </row>
    <row r="32" spans="1:40" s="71" customFormat="1" x14ac:dyDescent="0.2">
      <c r="A32" s="308"/>
      <c r="B32" s="282" t="s">
        <v>81</v>
      </c>
      <c r="C32" s="9">
        <f>C29+G29+0.88*F29+H29*0.018</f>
        <v>0.11470136244593675</v>
      </c>
      <c r="D32" s="8"/>
      <c r="E32" s="8"/>
      <c r="F32" s="8"/>
      <c r="G32" s="8"/>
      <c r="H32" s="8"/>
      <c r="AH32" s="24"/>
      <c r="AI32" s="24"/>
      <c r="AJ32" s="24"/>
      <c r="AK32" s="24"/>
      <c r="AL32" s="24"/>
      <c r="AM32" s="24"/>
      <c r="AN32" s="24"/>
    </row>
    <row r="33" spans="1:40" s="71" customFormat="1" ht="15.75" thickBot="1" x14ac:dyDescent="0.25">
      <c r="A33" s="308"/>
      <c r="B33" s="279" t="s">
        <v>80</v>
      </c>
      <c r="C33" s="9">
        <f>C31+G31+0.88*F31+H31*0.018</f>
        <v>0.17539884340055201</v>
      </c>
      <c r="D33" s="8"/>
      <c r="E33" s="8"/>
      <c r="F33" s="8"/>
      <c r="G33" s="8"/>
      <c r="H33" s="8"/>
      <c r="AH33" s="24"/>
      <c r="AI33" s="24"/>
      <c r="AJ33" s="24"/>
      <c r="AK33" s="24"/>
      <c r="AL33" s="24"/>
      <c r="AM33" s="24"/>
      <c r="AN33" s="24"/>
    </row>
    <row r="34" spans="1:40" s="71" customFormat="1" ht="15.75" thickBot="1" x14ac:dyDescent="0.25">
      <c r="A34" s="308"/>
      <c r="B34" s="19"/>
      <c r="C34" s="496" t="s">
        <v>101</v>
      </c>
      <c r="D34" s="497"/>
      <c r="E34" s="497"/>
      <c r="F34" s="497"/>
      <c r="G34" s="497"/>
      <c r="H34" s="498"/>
      <c r="AH34" s="24"/>
      <c r="AI34" s="24"/>
      <c r="AJ34" s="24"/>
      <c r="AK34" s="24"/>
      <c r="AL34" s="24"/>
      <c r="AM34" s="24"/>
      <c r="AN34" s="24"/>
    </row>
    <row r="35" spans="1:40" s="71" customFormat="1" ht="15.75" thickBot="1" x14ac:dyDescent="0.25">
      <c r="A35" s="308"/>
      <c r="B35" s="19"/>
      <c r="C35" s="14" t="s">
        <v>87</v>
      </c>
      <c r="D35" s="13" t="s">
        <v>86</v>
      </c>
      <c r="E35" s="13" t="s">
        <v>85</v>
      </c>
      <c r="F35" s="13" t="s">
        <v>84</v>
      </c>
      <c r="G35" s="13" t="s">
        <v>83</v>
      </c>
      <c r="H35" s="281" t="s">
        <v>82</v>
      </c>
      <c r="AH35" s="24"/>
      <c r="AI35" s="24"/>
      <c r="AJ35" s="24"/>
      <c r="AK35" s="24"/>
      <c r="AL35" s="24"/>
      <c r="AM35" s="24"/>
      <c r="AN35" s="24"/>
    </row>
    <row r="36" spans="1:40" s="71" customFormat="1" x14ac:dyDescent="0.2">
      <c r="A36" s="308"/>
      <c r="B36" s="19"/>
      <c r="C36" s="328">
        <f>C6*F9/10000</f>
        <v>0.1287839002123401</v>
      </c>
      <c r="D36" s="329">
        <f>C6*F10/10000</f>
        <v>0.38544312764290439</v>
      </c>
      <c r="E36" s="329">
        <f>C6*F11/10000</f>
        <v>0.48577297214475557</v>
      </c>
      <c r="F36" s="329">
        <f>D6/100</f>
        <v>0</v>
      </c>
      <c r="G36" s="329">
        <f>E6/100</f>
        <v>0</v>
      </c>
      <c r="H36" s="330">
        <f>F6/100</f>
        <v>0</v>
      </c>
      <c r="I36" s="492" t="s">
        <v>206</v>
      </c>
      <c r="J36" s="492"/>
      <c r="K36" s="493"/>
      <c r="AH36" s="24"/>
      <c r="AI36" s="24"/>
      <c r="AJ36" s="24"/>
      <c r="AK36" s="24"/>
      <c r="AL36" s="24"/>
      <c r="AM36" s="24"/>
      <c r="AN36" s="24"/>
    </row>
    <row r="37" spans="1:40" s="71" customFormat="1" ht="15.75" thickBot="1" x14ac:dyDescent="0.25">
      <c r="A37" s="308"/>
      <c r="B37" s="19"/>
      <c r="C37" s="316">
        <f>A1.3.5!G5</f>
        <v>20.672217845378672</v>
      </c>
      <c r="D37" s="317">
        <f>A1.3.5!G6</f>
        <v>11.475268410148226</v>
      </c>
      <c r="E37" s="317">
        <f>A1.3.5!G7</f>
        <v>8.1140370950830043</v>
      </c>
      <c r="F37" s="317">
        <f>A1.3.5!G11</f>
        <v>13.932689107150736</v>
      </c>
      <c r="G37" s="317">
        <f>A1.3.5!G13</f>
        <v>14.350951963873458</v>
      </c>
      <c r="H37" s="318">
        <f>A1.3.5!G17</f>
        <v>94.999401447767951</v>
      </c>
      <c r="I37" s="494"/>
      <c r="J37" s="494"/>
      <c r="K37" s="495"/>
      <c r="AH37" s="24"/>
      <c r="AI37" s="24"/>
      <c r="AJ37" s="24"/>
      <c r="AK37" s="24"/>
      <c r="AL37" s="24"/>
      <c r="AM37" s="24"/>
      <c r="AN37" s="24"/>
    </row>
    <row r="38" spans="1:40" s="71" customFormat="1" ht="15.75" thickBot="1" x14ac:dyDescent="0.25">
      <c r="A38" s="308"/>
      <c r="B38" s="19"/>
      <c r="C38" s="331">
        <f t="shared" ref="C38:H38" si="3">C37*C36/SUMPRODUCT($C$36:$H$36,$C$37:$H$37)</f>
        <v>0.24143238325206884</v>
      </c>
      <c r="D38" s="332">
        <f t="shared" si="3"/>
        <v>0.40111604479665897</v>
      </c>
      <c r="E38" s="332">
        <f t="shared" si="3"/>
        <v>0.35745157195127214</v>
      </c>
      <c r="F38" s="332">
        <f t="shared" si="3"/>
        <v>0</v>
      </c>
      <c r="G38" s="332">
        <f t="shared" si="3"/>
        <v>0</v>
      </c>
      <c r="H38" s="333">
        <f t="shared" si="3"/>
        <v>0</v>
      </c>
      <c r="AH38" s="24"/>
      <c r="AI38" s="24"/>
      <c r="AJ38" s="24"/>
      <c r="AK38" s="24"/>
      <c r="AL38" s="24"/>
      <c r="AM38" s="24"/>
      <c r="AN38" s="24"/>
    </row>
    <row r="39" spans="1:40" s="71" customFormat="1" x14ac:dyDescent="0.2">
      <c r="A39" s="308"/>
      <c r="B39" s="282" t="s">
        <v>81</v>
      </c>
      <c r="C39" s="9">
        <f>C36+G36+0.88*F36+H36*0.018</f>
        <v>0.1287839002123401</v>
      </c>
      <c r="D39" s="8"/>
      <c r="E39" s="8"/>
      <c r="F39" s="8"/>
      <c r="G39" s="8"/>
      <c r="H39" s="8"/>
      <c r="AH39" s="24"/>
      <c r="AI39" s="24"/>
      <c r="AJ39" s="24"/>
      <c r="AK39" s="24"/>
      <c r="AL39" s="24"/>
      <c r="AM39" s="24"/>
      <c r="AN39" s="24"/>
    </row>
    <row r="40" spans="1:40" s="71" customFormat="1" x14ac:dyDescent="0.2">
      <c r="A40" s="308"/>
      <c r="B40" s="279" t="s">
        <v>80</v>
      </c>
      <c r="C40" s="9">
        <f>C38+G38+0.88*F38+H38*0.018</f>
        <v>0.24143238325206884</v>
      </c>
      <c r="D40" s="8"/>
      <c r="E40" s="8"/>
      <c r="F40" s="8"/>
      <c r="G40" s="8"/>
      <c r="H40" s="8"/>
      <c r="AF40" s="23"/>
      <c r="AG40" s="23"/>
      <c r="AH40" s="24"/>
      <c r="AI40" s="24"/>
      <c r="AJ40" s="24"/>
      <c r="AK40" s="24"/>
      <c r="AL40" s="24"/>
      <c r="AM40" s="24"/>
      <c r="AN40" s="24"/>
    </row>
    <row r="41" spans="1:40" x14ac:dyDescent="0.25">
      <c r="B41" s="7"/>
      <c r="C41" s="499"/>
      <c r="D41" s="499"/>
      <c r="E41" s="5"/>
      <c r="G41" s="6"/>
      <c r="N41" s="8"/>
      <c r="O41" s="8"/>
      <c r="P41" s="8"/>
      <c r="Q41" s="8"/>
      <c r="R41" s="8"/>
      <c r="S41" s="8"/>
      <c r="T41" s="8"/>
      <c r="U41" s="8"/>
      <c r="V41" s="8"/>
      <c r="W41" s="8"/>
      <c r="X41" s="8"/>
      <c r="Y41" s="8"/>
      <c r="AF41" s="27"/>
      <c r="AG41" s="27"/>
      <c r="AH41" s="27"/>
      <c r="AI41" s="27"/>
      <c r="AJ41" s="27"/>
      <c r="AK41" s="27"/>
      <c r="AL41" s="27"/>
      <c r="AM41" s="27"/>
      <c r="AN41" s="27"/>
    </row>
    <row r="42" spans="1:40" x14ac:dyDescent="0.25">
      <c r="B42" s="7"/>
      <c r="E42" s="302" t="s">
        <v>1</v>
      </c>
      <c r="F42" s="12" t="s">
        <v>100</v>
      </c>
      <c r="G42" s="303" t="s">
        <v>0</v>
      </c>
      <c r="H42" s="12" t="s">
        <v>101</v>
      </c>
      <c r="J42" s="500" t="s">
        <v>7</v>
      </c>
      <c r="K42" s="500" t="s">
        <v>10</v>
      </c>
      <c r="L42" s="500"/>
      <c r="M42" s="500"/>
      <c r="N42" s="500" t="s">
        <v>107</v>
      </c>
      <c r="O42" s="500"/>
      <c r="P42" s="500"/>
      <c r="Q42" s="500" t="s">
        <v>9</v>
      </c>
      <c r="R42" s="500"/>
      <c r="S42" s="500"/>
      <c r="T42" s="500" t="s">
        <v>110</v>
      </c>
      <c r="U42" s="500"/>
      <c r="V42" s="500"/>
      <c r="W42" s="307" t="s">
        <v>213</v>
      </c>
      <c r="X42" s="500" t="s">
        <v>77</v>
      </c>
      <c r="Y42" s="500"/>
      <c r="Z42" s="500"/>
      <c r="AA42" s="500"/>
      <c r="AF42" s="27"/>
      <c r="AG42" s="27"/>
      <c r="AH42" s="27"/>
      <c r="AI42" s="27"/>
      <c r="AJ42" s="27"/>
      <c r="AK42" s="27"/>
      <c r="AL42" s="27"/>
      <c r="AM42" s="27"/>
      <c r="AN42" s="27"/>
    </row>
    <row r="43" spans="1:40" ht="15.75" thickBot="1" x14ac:dyDescent="0.3">
      <c r="B43" s="491" t="s">
        <v>76</v>
      </c>
      <c r="C43" s="491"/>
      <c r="D43" s="491"/>
      <c r="E43" s="3">
        <f>SUMPRODUCT(C15:H15,C16:H16)</f>
        <v>13.736163398725617</v>
      </c>
      <c r="F43" s="3">
        <f>SUMPRODUCT(C22:H22,C23:H23)</f>
        <v>10.668764536900987</v>
      </c>
      <c r="G43" s="3">
        <f>SUMPRODUCT(C29:H29,C30:H30)</f>
        <v>13.503878007246037</v>
      </c>
      <c r="H43" s="3">
        <f>SUMPRODUCT(C36:H36,C37:H37)</f>
        <v>11.026892102487624</v>
      </c>
      <c r="J43" s="500"/>
      <c r="K43" s="503" t="s">
        <v>75</v>
      </c>
      <c r="L43" s="503"/>
      <c r="M43" s="12" t="s">
        <v>74</v>
      </c>
      <c r="N43" s="503" t="s">
        <v>75</v>
      </c>
      <c r="O43" s="503"/>
      <c r="P43" s="12" t="s">
        <v>74</v>
      </c>
      <c r="Q43" s="503" t="s">
        <v>75</v>
      </c>
      <c r="R43" s="503"/>
      <c r="S43" s="12" t="s">
        <v>74</v>
      </c>
      <c r="T43" s="503" t="s">
        <v>75</v>
      </c>
      <c r="U43" s="503"/>
      <c r="V43" s="12" t="s">
        <v>74</v>
      </c>
      <c r="W43" s="307" t="s">
        <v>214</v>
      </c>
      <c r="X43" s="12" t="s">
        <v>211</v>
      </c>
      <c r="Y43" s="12" t="s">
        <v>111</v>
      </c>
      <c r="Z43" s="12" t="s">
        <v>210</v>
      </c>
      <c r="AA43" s="12" t="s">
        <v>112</v>
      </c>
      <c r="AF43" s="27"/>
      <c r="AG43" s="27"/>
      <c r="AH43" s="27"/>
      <c r="AI43" s="27"/>
      <c r="AJ43" s="27"/>
      <c r="AK43" s="27"/>
      <c r="AL43" s="27"/>
      <c r="AM43" s="27"/>
      <c r="AN43" s="27"/>
    </row>
    <row r="44" spans="1:40" x14ac:dyDescent="0.25">
      <c r="A44" s="308">
        <v>2018</v>
      </c>
      <c r="B44" s="491" t="s">
        <v>108</v>
      </c>
      <c r="C44" s="491"/>
      <c r="D44" s="491"/>
      <c r="E44" s="3">
        <f>'VOT growth'!F18*$E$43</f>
        <v>16.272199271931637</v>
      </c>
      <c r="F44" s="3">
        <f>'VOT growth'!G18*$F$43</f>
        <v>12.638482630883425</v>
      </c>
      <c r="G44" s="3">
        <f>'VOT growth'!H18*$G$43</f>
        <v>15.997028245758129</v>
      </c>
      <c r="H44" s="3">
        <f>'VOT growth'!I18*$H$43</f>
        <v>13.062729412378333</v>
      </c>
      <c r="J44" s="2">
        <f>'Model Outputs'!C3</f>
        <v>2020</v>
      </c>
      <c r="K44" s="334">
        <f>'Vehicle and Delay Conversion'!C38</f>
        <v>31315.159038755839</v>
      </c>
      <c r="L44" s="335">
        <f>K44</f>
        <v>31315.159038755839</v>
      </c>
      <c r="M44" s="272">
        <f>L44*VLOOKUP($J44,$A$44:$H$111,5)</f>
        <v>530526.53838524129</v>
      </c>
      <c r="N44" s="334">
        <f>'Vehicle and Delay Conversion'!C39</f>
        <v>0</v>
      </c>
      <c r="O44" s="335">
        <f>N44</f>
        <v>0</v>
      </c>
      <c r="P44" s="272">
        <f>O44*VLOOKUP($J44,$A$44:$H$111,6)</f>
        <v>0</v>
      </c>
      <c r="Q44" s="334">
        <f>'Vehicle and Delay Conversion'!C40</f>
        <v>5394.9639566473761</v>
      </c>
      <c r="R44" s="335">
        <f>Q44</f>
        <v>5394.9639566473761</v>
      </c>
      <c r="S44" s="272">
        <f>R44*VLOOKUP($J44,$A$44:$H$111,7)</f>
        <v>89853.313439740858</v>
      </c>
      <c r="T44" s="334">
        <f>'Vehicle and Delay Conversion'!C41</f>
        <v>0</v>
      </c>
      <c r="U44" s="335">
        <f>T44</f>
        <v>0</v>
      </c>
      <c r="V44" s="272">
        <f>U44*VLOOKUP($J44,$A$44:$H$111,8)</f>
        <v>0</v>
      </c>
      <c r="W44" s="339">
        <f>1/(1+0.035)^(J44-2010)</f>
        <v>0.70891881370977217</v>
      </c>
      <c r="X44" s="274">
        <f>M44*$W44</f>
        <v>376100.24423361715</v>
      </c>
      <c r="Y44" s="274">
        <f>P44*W44</f>
        <v>0</v>
      </c>
      <c r="Z44" s="274">
        <f>S44*W44</f>
        <v>63698.70437159342</v>
      </c>
      <c r="AA44" s="274">
        <f>V44*W44</f>
        <v>0</v>
      </c>
      <c r="AB44" s="2">
        <v>1</v>
      </c>
      <c r="AF44" s="27"/>
      <c r="AG44" s="27"/>
      <c r="AH44" s="27"/>
      <c r="AI44" s="27"/>
      <c r="AJ44" s="27"/>
      <c r="AK44" s="27"/>
      <c r="AL44" s="27"/>
      <c r="AM44" s="27"/>
      <c r="AN44" s="27"/>
    </row>
    <row r="45" spans="1:40" x14ac:dyDescent="0.25">
      <c r="A45" s="308">
        <f>A44+1</f>
        <v>2019</v>
      </c>
      <c r="B45" s="491" t="s">
        <v>109</v>
      </c>
      <c r="C45" s="491"/>
      <c r="D45" s="491"/>
      <c r="E45" s="3">
        <f>'VOT growth'!F19*$E$43</f>
        <v>16.605622164703032</v>
      </c>
      <c r="F45" s="3">
        <f>'VOT growth'!G19*$F$43</f>
        <v>12.897449434854352</v>
      </c>
      <c r="G45" s="3">
        <f>'VOT growth'!H19*$G$43</f>
        <v>16.324812790693411</v>
      </c>
      <c r="H45" s="3">
        <f>'VOT growth'!I19*$H$43</f>
        <v>13.330389177071476</v>
      </c>
      <c r="I45" s="2" t="str">
        <f>IF(K45="","",J45)</f>
        <v/>
      </c>
      <c r="J45" s="2">
        <f>J44+1</f>
        <v>2021</v>
      </c>
      <c r="K45" s="336" t="str">
        <f>IF($J45='Vehicle and Delay Conversion'!$D$37,'Vehicle and Delay Conversion'!$D$38,"")</f>
        <v/>
      </c>
      <c r="L45" s="337">
        <f>IF(K45="",IF(MAX(K46:K$94)&gt;0,K$44+(MAX(K$45:K$100)-K$44)*($J45-$J$44)/(MAX($I$45:$I$100)-$J$44),L44),K45)</f>
        <v>31315.159038755839</v>
      </c>
      <c r="M45" s="273">
        <f t="shared" ref="M45:M103" si="4">L45*VLOOKUP($J45,$A$44:$H$111,5)</f>
        <v>542385.77996430779</v>
      </c>
      <c r="N45" s="336" t="str">
        <f>IF($J45='Vehicle and Delay Conversion'!$D$37,'Vehicle and Delay Conversion'!$D$39,"")</f>
        <v/>
      </c>
      <c r="O45" s="337">
        <f>IF(N45="",IF(MAX(N46:N$94)&gt;0,N$44+(MAX(N$45:N$100)-N$44)*($J45-$J$44)/(MAX($I$45:$I$100)-$J$44),O44),N45)</f>
        <v>0</v>
      </c>
      <c r="P45" s="273">
        <f t="shared" ref="P45:P103" si="5">O45*VLOOKUP($J45,$A$44:$H$111,6)</f>
        <v>0</v>
      </c>
      <c r="Q45" s="336" t="str">
        <f>IF($J45='Vehicle and Delay Conversion'!$D$37,'Vehicle and Delay Conversion'!$D$40,"")</f>
        <v/>
      </c>
      <c r="R45" s="337">
        <f>IF(Q45="",IF(MAX(Q46:Q$94)&gt;0,Q$44+(MAX(Q$45:Q$100)-Q$44)*($J45-$J$44)/(MAX($I$45:$I$100)-$J$44),R44),Q45)</f>
        <v>5394.9639566473761</v>
      </c>
      <c r="S45" s="273">
        <f t="shared" ref="S45:S103" si="6">R45*VLOOKUP($J45,$A$44:$H$111,7)</f>
        <v>91861.869230380151</v>
      </c>
      <c r="T45" s="336" t="str">
        <f>IF($J45='Vehicle and Delay Conversion'!$D$37,'Vehicle and Delay Conversion'!$D$41,"")</f>
        <v/>
      </c>
      <c r="U45" s="337">
        <f>IF(T45="",IF(MAX(T46:T$94)&gt;0,T$44+(MAX(T$45:T$100)-T$44)*($J45-$J$44)/(MAX($I$45:$I$100)-$J$44),U44),T45)</f>
        <v>0</v>
      </c>
      <c r="V45" s="273">
        <f t="shared" ref="V45:V103" si="7">U45*VLOOKUP($J45,$A$44:$H$111,8)</f>
        <v>0</v>
      </c>
      <c r="W45" s="339">
        <f>W44/(1+0.035)</f>
        <v>0.68494571372924851</v>
      </c>
      <c r="X45" s="275">
        <f t="shared" ref="X45:X103" si="8">M45*$W45</f>
        <v>371504.81517424795</v>
      </c>
      <c r="Y45" s="275">
        <f t="shared" ref="Y45:Y103" si="9">P45*W45</f>
        <v>0</v>
      </c>
      <c r="Z45" s="275">
        <f t="shared" ref="Z45:Z103" si="10">S45*W45</f>
        <v>62920.393584505626</v>
      </c>
      <c r="AA45" s="275">
        <f t="shared" ref="AA45:AA103" si="11">V45*W45</f>
        <v>0</v>
      </c>
      <c r="AB45" s="2">
        <f>AB44+1</f>
        <v>2</v>
      </c>
      <c r="AF45" s="27"/>
      <c r="AG45" s="27"/>
      <c r="AH45" s="27"/>
      <c r="AI45" s="27"/>
      <c r="AJ45" s="27"/>
      <c r="AK45" s="27"/>
      <c r="AL45" s="27"/>
      <c r="AM45" s="27"/>
      <c r="AN45" s="27"/>
    </row>
    <row r="46" spans="1:40" x14ac:dyDescent="0.25">
      <c r="A46" s="308">
        <f t="shared" ref="A46:A109" si="12">A45+1</f>
        <v>2020</v>
      </c>
      <c r="B46" s="491" t="s">
        <v>73</v>
      </c>
      <c r="C46" s="491"/>
      <c r="D46" s="491"/>
      <c r="E46" s="3">
        <f>'VOT growth'!F20*$E$43</f>
        <v>16.941524637593513</v>
      </c>
      <c r="F46" s="3">
        <f>'VOT growth'!G20*$F$43</f>
        <v>13.158342108201825</v>
      </c>
      <c r="G46" s="3">
        <f>'VOT growth'!H20*$G$43</f>
        <v>16.655034984808115</v>
      </c>
      <c r="H46" s="3">
        <f>'VOT growth'!I20*$H$43</f>
        <v>13.600039458449588</v>
      </c>
      <c r="I46" s="308" t="str">
        <f t="shared" ref="I46:I100" si="13">IF(K46="","",J46)</f>
        <v/>
      </c>
      <c r="J46" s="21">
        <f t="shared" ref="J46:J103" si="14">J45+1</f>
        <v>2022</v>
      </c>
      <c r="K46" s="336" t="str">
        <f>IF(J46='Vehicle and Delay Conversion'!$D$37,'Vehicle and Delay Conversion'!$D$38,"")</f>
        <v/>
      </c>
      <c r="L46" s="337">
        <f>IF(K46="",IF(MAX(K47:K$94)&gt;0,K$44+(MAX(K$45:K$100)-K$44)*($J46-$J$44)/(MAX($I$45:$I$100)-$J$44),L45),K46)</f>
        <v>31315.159038755839</v>
      </c>
      <c r="M46" s="273">
        <f t="shared" si="4"/>
        <v>554295.56956819037</v>
      </c>
      <c r="N46" s="336" t="str">
        <f>IF($J46='Vehicle and Delay Conversion'!$D$37,'Vehicle and Delay Conversion'!$D$39,"")</f>
        <v/>
      </c>
      <c r="O46" s="337">
        <f>IF(N46="",IF(MAX(N47:N$94)&gt;0,N$44+(MAX(N$45:N$100)-N$44)*($J46-$J$44)/(MAX($I$45:$I$100)-$J$44),O45),N46)</f>
        <v>0</v>
      </c>
      <c r="P46" s="273">
        <f t="shared" si="5"/>
        <v>0</v>
      </c>
      <c r="Q46" s="336" t="str">
        <f>IF($J46='Vehicle and Delay Conversion'!$D$37,'Vehicle and Delay Conversion'!$D$40,"")</f>
        <v/>
      </c>
      <c r="R46" s="337">
        <f>IF(Q46="",IF(MAX(Q47:Q$94)&gt;0,Q$44+(MAX(Q$45:Q$100)-Q$44)*($J46-$J$44)/(MAX($I$45:$I$100)-$J$44),R45),Q46)</f>
        <v>5394.9639566473761</v>
      </c>
      <c r="S46" s="273">
        <f t="shared" si="6"/>
        <v>93878.986152629092</v>
      </c>
      <c r="T46" s="336" t="str">
        <f>IF($J46='Vehicle and Delay Conversion'!$D$37,'Vehicle and Delay Conversion'!$D$41,"")</f>
        <v/>
      </c>
      <c r="U46" s="337">
        <f>IF(T46="",IF(MAX(T47:T$94)&gt;0,T$44+(MAX(T$45:T$100)-T$44)*($J46-$J$44)/(MAX($I$45:$I$100)-$J$44),U45),T46)</f>
        <v>0</v>
      </c>
      <c r="V46" s="273">
        <f t="shared" si="7"/>
        <v>0</v>
      </c>
      <c r="W46" s="339">
        <f t="shared" ref="W46:W73" si="15">W45/(1+0.035)</f>
        <v>0.66178329828912907</v>
      </c>
      <c r="X46" s="275">
        <f t="shared" si="8"/>
        <v>366823.55025588843</v>
      </c>
      <c r="Y46" s="275">
        <f t="shared" si="9"/>
        <v>0</v>
      </c>
      <c r="Z46" s="275">
        <f t="shared" si="10"/>
        <v>62127.545096126356</v>
      </c>
      <c r="AA46" s="275">
        <f t="shared" si="11"/>
        <v>0</v>
      </c>
      <c r="AB46" s="308">
        <f t="shared" ref="AB46:AB103" si="16">AB45+1</f>
        <v>3</v>
      </c>
      <c r="AF46" s="27"/>
      <c r="AG46" s="27"/>
      <c r="AH46" s="27"/>
      <c r="AI46" s="27"/>
      <c r="AJ46" s="27"/>
      <c r="AK46" s="27"/>
      <c r="AL46" s="27"/>
      <c r="AM46" s="27"/>
      <c r="AN46" s="27"/>
    </row>
    <row r="47" spans="1:40" x14ac:dyDescent="0.25">
      <c r="A47" s="308">
        <f t="shared" si="12"/>
        <v>2021</v>
      </c>
      <c r="B47" s="491" t="s">
        <v>72</v>
      </c>
      <c r="C47" s="491"/>
      <c r="D47" s="491"/>
      <c r="E47" s="3">
        <f>'VOT growth'!F21*$E$43</f>
        <v>17.320230732120752</v>
      </c>
      <c r="F47" s="3">
        <f>'VOT growth'!G21*$F$43</f>
        <v>13.452480000560865</v>
      </c>
      <c r="G47" s="3">
        <f>'VOT growth'!H21*$G$43</f>
        <v>17.027336969914884</v>
      </c>
      <c r="H47" s="3">
        <f>'VOT growth'!I21*$H$43</f>
        <v>13.904050929607088</v>
      </c>
      <c r="I47" s="308" t="str">
        <f t="shared" si="13"/>
        <v/>
      </c>
      <c r="J47" s="21">
        <f t="shared" si="14"/>
        <v>2023</v>
      </c>
      <c r="K47" s="338" t="str">
        <f>IF(J47='Vehicle and Delay Conversion'!$D$37,'Vehicle and Delay Conversion'!$D$38,"")</f>
        <v/>
      </c>
      <c r="L47" s="337">
        <f>IF(K47="",IF(MAX(K48:K$94)&gt;0,K$44+(MAX(K$45:K$100)-K$44)*($J47-$J$44)/(MAX($I$45:$I$100)-$J$44),L46),K47)</f>
        <v>31315.159038755839</v>
      </c>
      <c r="M47" s="273">
        <f t="shared" si="4"/>
        <v>566261.15580873145</v>
      </c>
      <c r="N47" s="338" t="str">
        <f>IF($J47='Vehicle and Delay Conversion'!$D$37,'Vehicle and Delay Conversion'!$D$39,"")</f>
        <v/>
      </c>
      <c r="O47" s="337">
        <f>IF(N47="",IF(MAX(N48:N$94)&gt;0,N$44+(MAX(N$45:N$100)-N$44)*($J47-$J$44)/(MAX($I$45:$I$100)-$J$44),O46),N47)</f>
        <v>0</v>
      </c>
      <c r="P47" s="273">
        <f t="shared" si="5"/>
        <v>0</v>
      </c>
      <c r="Q47" s="338" t="str">
        <f>IF($J47='Vehicle and Delay Conversion'!$D$37,'Vehicle and Delay Conversion'!$D$40,"")</f>
        <v/>
      </c>
      <c r="R47" s="337">
        <f>IF(Q47="",IF(MAX(Q48:Q$94)&gt;0,Q$44+(MAX(Q$45:Q$100)-Q$44)*($J47-$J$44)/(MAX($I$45:$I$100)-$J$44),R46),Q47)</f>
        <v>5394.9639566473761</v>
      </c>
      <c r="S47" s="273">
        <f t="shared" si="6"/>
        <v>95905.553144421821</v>
      </c>
      <c r="T47" s="338" t="str">
        <f>IF($J47='Vehicle and Delay Conversion'!$D$37,'Vehicle and Delay Conversion'!$D$41,"")</f>
        <v/>
      </c>
      <c r="U47" s="337">
        <f>IF(T47="",IF(MAX(T48:T$94)&gt;0,T$44+(MAX(T$45:T$100)-T$44)*($J47-$J$44)/(MAX($I$45:$I$100)-$J$44),U46),T47)</f>
        <v>0</v>
      </c>
      <c r="V47" s="273">
        <f t="shared" si="7"/>
        <v>0</v>
      </c>
      <c r="W47" s="339">
        <f t="shared" si="15"/>
        <v>0.63940415293635666</v>
      </c>
      <c r="X47" s="275">
        <f t="shared" si="8"/>
        <v>362069.73467064422</v>
      </c>
      <c r="Y47" s="275">
        <f t="shared" si="9"/>
        <v>0</v>
      </c>
      <c r="Z47" s="275">
        <f t="shared" si="10"/>
        <v>61322.408970201774</v>
      </c>
      <c r="AA47" s="275">
        <f t="shared" si="11"/>
        <v>0</v>
      </c>
      <c r="AB47" s="308">
        <f t="shared" si="16"/>
        <v>4</v>
      </c>
    </row>
    <row r="48" spans="1:40" x14ac:dyDescent="0.25">
      <c r="A48" s="308">
        <f t="shared" si="12"/>
        <v>2022</v>
      </c>
      <c r="B48" s="491" t="s">
        <v>71</v>
      </c>
      <c r="C48" s="491"/>
      <c r="D48" s="491"/>
      <c r="E48" s="3">
        <f>'VOT growth'!F22*$E$43</f>
        <v>17.700550997751304</v>
      </c>
      <c r="F48" s="3">
        <f>'VOT growth'!G22*$F$43</f>
        <v>13.747871606269371</v>
      </c>
      <c r="G48" s="3">
        <f>'VOT growth'!H22*$G$43</f>
        <v>17.401225829684478</v>
      </c>
      <c r="H48" s="3">
        <f>'VOT growth'!I22*$H$43</f>
        <v>14.209358198584871</v>
      </c>
      <c r="I48" s="308" t="str">
        <f t="shared" si="13"/>
        <v/>
      </c>
      <c r="J48" s="21">
        <f t="shared" si="14"/>
        <v>2024</v>
      </c>
      <c r="K48" s="338" t="str">
        <f>IF(J48='Vehicle and Delay Conversion'!$D$37,'Vehicle and Delay Conversion'!$D$38,"")</f>
        <v/>
      </c>
      <c r="L48" s="337">
        <f>IF(K48="",IF(MAX(K49:K$94)&gt;0,K$44+(MAX(K$45:K$100)-K$44)*($J48-$J$44)/(MAX($I$45:$I$100)-$J$44),L47),K48)</f>
        <v>31315.159038755839</v>
      </c>
      <c r="M48" s="273">
        <f t="shared" si="4"/>
        <v>578715.48821731424</v>
      </c>
      <c r="N48" s="338" t="str">
        <f>IF($J48='Vehicle and Delay Conversion'!$D$37,'Vehicle and Delay Conversion'!$D$39,"")</f>
        <v/>
      </c>
      <c r="O48" s="337">
        <f>IF(N48="",IF(MAX(N49:N$94)&gt;0,N$44+(MAX(N$45:N$100)-N$44)*($J48-$J$44)/(MAX($I$45:$I$100)-$J$44),O47),N48)</f>
        <v>0</v>
      </c>
      <c r="P48" s="273">
        <f t="shared" si="5"/>
        <v>0</v>
      </c>
      <c r="Q48" s="338" t="str">
        <f>IF($J48='Vehicle and Delay Conversion'!$D$37,'Vehicle and Delay Conversion'!$D$40,"")</f>
        <v/>
      </c>
      <c r="R48" s="337">
        <f>IF(Q48="",IF(MAX(Q49:Q$94)&gt;0,Q$44+(MAX(Q$45:Q$100)-Q$44)*($J48-$J$44)/(MAX($I$45:$I$100)-$J$44),R47),Q48)</f>
        <v>5394.9639566473761</v>
      </c>
      <c r="S48" s="273">
        <f t="shared" si="6"/>
        <v>98014.897263185776</v>
      </c>
      <c r="T48" s="338" t="str">
        <f>IF($J48='Vehicle and Delay Conversion'!$D$37,'Vehicle and Delay Conversion'!$D$41,"")</f>
        <v/>
      </c>
      <c r="U48" s="337">
        <f>IF(T48="",IF(MAX(T49:T$94)&gt;0,T$44+(MAX(T$45:T$100)-T$44)*($J48-$J$44)/(MAX($I$45:$I$100)-$J$44),U47),T48)</f>
        <v>0</v>
      </c>
      <c r="V48" s="273">
        <f t="shared" si="7"/>
        <v>0</v>
      </c>
      <c r="W48" s="339">
        <f t="shared" si="15"/>
        <v>0.61778179027667313</v>
      </c>
      <c r="X48" s="275">
        <f t="shared" si="8"/>
        <v>357519.89037173131</v>
      </c>
      <c r="Y48" s="275">
        <f t="shared" si="9"/>
        <v>0</v>
      </c>
      <c r="Z48" s="275">
        <f t="shared" si="10"/>
        <v>60551.818705035097</v>
      </c>
      <c r="AA48" s="275">
        <f t="shared" si="11"/>
        <v>0</v>
      </c>
      <c r="AB48" s="308">
        <f t="shared" si="16"/>
        <v>5</v>
      </c>
    </row>
    <row r="49" spans="1:28" x14ac:dyDescent="0.25">
      <c r="A49" s="308">
        <f t="shared" si="12"/>
        <v>2023</v>
      </c>
      <c r="B49" s="491" t="s">
        <v>70</v>
      </c>
      <c r="C49" s="491"/>
      <c r="D49" s="491"/>
      <c r="E49" s="3">
        <f>'VOT growth'!F23*$E$43</f>
        <v>18.08265304059044</v>
      </c>
      <c r="F49" s="3">
        <f>'VOT growth'!G23*$F$43</f>
        <v>14.044647103603495</v>
      </c>
      <c r="G49" s="3">
        <f>'VOT growth'!H23*$G$43</f>
        <v>17.776866335919131</v>
      </c>
      <c r="H49" s="3">
        <f>'VOT growth'!I23*$H$43</f>
        <v>14.516095813464887</v>
      </c>
      <c r="I49" s="308" t="str">
        <f t="shared" si="13"/>
        <v/>
      </c>
      <c r="J49" s="21">
        <f t="shared" si="14"/>
        <v>2025</v>
      </c>
      <c r="K49" s="338" t="str">
        <f>IF(J49='Vehicle and Delay Conversion'!$D$37,'Vehicle and Delay Conversion'!$D$38,"")</f>
        <v/>
      </c>
      <c r="L49" s="337">
        <f>IF(K49="",IF(MAX(K50:K$94)&gt;0,K$44+(MAX(K$45:K$100)-K$44)*($J49-$J$44)/(MAX($I$45:$I$100)-$J$44),L48),K49)</f>
        <v>31315.159038755839</v>
      </c>
      <c r="M49" s="273">
        <f t="shared" si="4"/>
        <v>591235.16138079274</v>
      </c>
      <c r="N49" s="338" t="str">
        <f>IF($J49='Vehicle and Delay Conversion'!$D$37,'Vehicle and Delay Conversion'!$D$39,"")</f>
        <v/>
      </c>
      <c r="O49" s="337">
        <f>IF(N49="",IF(MAX(N50:N$94)&gt;0,N$44+(MAX(N$45:N$100)-N$44)*($J49-$J$44)/(MAX($I$45:$I$100)-$J$44),O48),N49)</f>
        <v>0</v>
      </c>
      <c r="P49" s="273">
        <f t="shared" si="5"/>
        <v>0</v>
      </c>
      <c r="Q49" s="338" t="str">
        <f>IF($J49='Vehicle and Delay Conversion'!$D$37,'Vehicle and Delay Conversion'!$D$40,"")</f>
        <v/>
      </c>
      <c r="R49" s="337">
        <f>IF(Q49="",IF(MAX(Q50:Q$94)&gt;0,Q$44+(MAX(Q$45:Q$100)-Q$44)*($J49-$J$44)/(MAX($I$45:$I$100)-$J$44),R48),Q49)</f>
        <v>5394.9639566473761</v>
      </c>
      <c r="S49" s="273">
        <f t="shared" si="6"/>
        <v>100135.30790342462</v>
      </c>
      <c r="T49" s="338" t="str">
        <f>IF($J49='Vehicle and Delay Conversion'!$D$37,'Vehicle and Delay Conversion'!$D$41,"")</f>
        <v/>
      </c>
      <c r="U49" s="337">
        <f>IF(T49="",IF(MAX(T50:T$94)&gt;0,T$44+(MAX(T$45:T$100)-T$44)*($J49-$J$44)/(MAX($I$45:$I$100)-$J$44),U48),T49)</f>
        <v>0</v>
      </c>
      <c r="V49" s="273">
        <f t="shared" si="7"/>
        <v>0</v>
      </c>
      <c r="W49" s="339">
        <f t="shared" si="15"/>
        <v>0.59689061862480497</v>
      </c>
      <c r="X49" s="275">
        <f t="shared" si="8"/>
        <v>352902.72122931777</v>
      </c>
      <c r="Y49" s="275">
        <f t="shared" si="9"/>
        <v>0</v>
      </c>
      <c r="Z49" s="275">
        <f t="shared" si="10"/>
        <v>59769.825880660443</v>
      </c>
      <c r="AA49" s="275">
        <f t="shared" si="11"/>
        <v>0</v>
      </c>
      <c r="AB49" s="308">
        <f t="shared" si="16"/>
        <v>6</v>
      </c>
    </row>
    <row r="50" spans="1:28" x14ac:dyDescent="0.25">
      <c r="A50" s="308">
        <f t="shared" si="12"/>
        <v>2024</v>
      </c>
      <c r="B50" s="491" t="s">
        <v>69</v>
      </c>
      <c r="C50" s="491"/>
      <c r="D50" s="491"/>
      <c r="E50" s="3">
        <f>'VOT growth'!F24*$E$43</f>
        <v>18.480362418121278</v>
      </c>
      <c r="F50" s="3">
        <f>'VOT growth'!G24*$F$43</f>
        <v>14.353544688746346</v>
      </c>
      <c r="G50" s="3">
        <f>'VOT growth'!H24*$G$43</f>
        <v>18.16785024901181</v>
      </c>
      <c r="H50" s="3">
        <f>'VOT growth'!I24*$H$43</f>
        <v>14.835362428667418</v>
      </c>
      <c r="I50" s="308" t="str">
        <f t="shared" si="13"/>
        <v/>
      </c>
      <c r="J50" s="21">
        <f t="shared" si="14"/>
        <v>2026</v>
      </c>
      <c r="K50" s="338" t="str">
        <f>IF(J50='Vehicle and Delay Conversion'!$D$37,'Vehicle and Delay Conversion'!$D$38,"")</f>
        <v/>
      </c>
      <c r="L50" s="337">
        <f>IF(K50="",IF(MAX(K51:K$94)&gt;0,K$44+(MAX(K$45:K$100)-K$44)*($J50-$J$44)/(MAX($I$45:$I$100)-$J$44),L49),K50)</f>
        <v>31315.159038755839</v>
      </c>
      <c r="M50" s="273">
        <f t="shared" si="4"/>
        <v>603824.19487157674</v>
      </c>
      <c r="N50" s="338" t="str">
        <f>IF($J50='Vehicle and Delay Conversion'!$D$37,'Vehicle and Delay Conversion'!$D$39,"")</f>
        <v/>
      </c>
      <c r="O50" s="337">
        <f>IF(N50="",IF(MAX(N51:N$94)&gt;0,N$44+(MAX(N$45:N$100)-N$44)*($J50-$J$44)/(MAX($I$45:$I$100)-$J$44),O49),N50)</f>
        <v>0</v>
      </c>
      <c r="P50" s="273">
        <f t="shared" si="5"/>
        <v>0</v>
      </c>
      <c r="Q50" s="338" t="str">
        <f>IF($J50='Vehicle and Delay Conversion'!$D$37,'Vehicle and Delay Conversion'!$D$40,"")</f>
        <v/>
      </c>
      <c r="R50" s="337">
        <f>IF(Q50="",IF(MAX(Q51:Q$94)&gt;0,Q$44+(MAX(Q$45:Q$100)-Q$44)*($J50-$J$44)/(MAX($I$45:$I$100)-$J$44),R49),Q50)</f>
        <v>5394.9639566473761</v>
      </c>
      <c r="S50" s="273">
        <f t="shared" si="6"/>
        <v>102267.46584521905</v>
      </c>
      <c r="T50" s="338" t="str">
        <f>IF($J50='Vehicle and Delay Conversion'!$D$37,'Vehicle and Delay Conversion'!$D$41,"")</f>
        <v/>
      </c>
      <c r="U50" s="337">
        <f>IF(T50="",IF(MAX(T51:T$94)&gt;0,T$44+(MAX(T$45:T$100)-T$44)*($J50-$J$44)/(MAX($I$45:$I$100)-$J$44),U49),T50)</f>
        <v>0</v>
      </c>
      <c r="V50" s="273">
        <f t="shared" si="7"/>
        <v>0</v>
      </c>
      <c r="W50" s="339">
        <f t="shared" si="15"/>
        <v>0.57670591171478747</v>
      </c>
      <c r="X50" s="275">
        <f t="shared" si="8"/>
        <v>348228.98281886015</v>
      </c>
      <c r="Y50" s="275">
        <f t="shared" si="9"/>
        <v>0</v>
      </c>
      <c r="Z50" s="275">
        <f t="shared" si="10"/>
        <v>58978.25212902794</v>
      </c>
      <c r="AA50" s="275">
        <f t="shared" si="11"/>
        <v>0</v>
      </c>
      <c r="AB50" s="308">
        <f t="shared" si="16"/>
        <v>7</v>
      </c>
    </row>
    <row r="51" spans="1:28" x14ac:dyDescent="0.25">
      <c r="A51" s="308">
        <f t="shared" si="12"/>
        <v>2025</v>
      </c>
      <c r="B51" s="491" t="s">
        <v>68</v>
      </c>
      <c r="C51" s="491"/>
      <c r="D51" s="491"/>
      <c r="E51" s="3">
        <f>'VOT growth'!F25*$E$43</f>
        <v>18.880158349158513</v>
      </c>
      <c r="F51" s="3">
        <f>'VOT growth'!G25*$F$43</f>
        <v>14.664062882745343</v>
      </c>
      <c r="G51" s="3">
        <f>'VOT growth'!H25*$G$43</f>
        <v>18.560885430947771</v>
      </c>
      <c r="H51" s="3">
        <f>'VOT growth'!I25*$H$43</f>
        <v>15.156304053092926</v>
      </c>
      <c r="I51" s="308" t="str">
        <f t="shared" si="13"/>
        <v/>
      </c>
      <c r="J51" s="21">
        <f t="shared" si="14"/>
        <v>2027</v>
      </c>
      <c r="K51" s="338" t="str">
        <f>IF(J51='Vehicle and Delay Conversion'!$D$37,'Vehicle and Delay Conversion'!$D$38,"")</f>
        <v/>
      </c>
      <c r="L51" s="337">
        <f>IF(K51="",IF(MAX(K52:K$94)&gt;0,K$44+(MAX(K$45:K$100)-K$44)*($J51-$J$44)/(MAX($I$45:$I$100)-$J$44),L50),K51)</f>
        <v>31315.159038755839</v>
      </c>
      <c r="M51" s="273">
        <f t="shared" si="4"/>
        <v>616484.7092738892</v>
      </c>
      <c r="N51" s="338" t="str">
        <f>IF($J51='Vehicle and Delay Conversion'!$D$37,'Vehicle and Delay Conversion'!$D$39,"")</f>
        <v/>
      </c>
      <c r="O51" s="337">
        <f>IF(N51="",IF(MAX(N52:N$94)&gt;0,N$44+(MAX(N$45:N$100)-N$44)*($J51-$J$44)/(MAX($I$45:$I$100)-$J$44),O50),N51)</f>
        <v>0</v>
      </c>
      <c r="P51" s="273">
        <f t="shared" si="5"/>
        <v>0</v>
      </c>
      <c r="Q51" s="338" t="str">
        <f>IF($J51='Vehicle and Delay Conversion'!$D$37,'Vehicle and Delay Conversion'!$D$40,"")</f>
        <v/>
      </c>
      <c r="R51" s="337">
        <f>IF(Q51="",IF(MAX(Q52:Q$94)&gt;0,Q$44+(MAX(Q$45:Q$100)-Q$44)*($J51-$J$44)/(MAX($I$45:$I$100)-$J$44),R50),Q51)</f>
        <v>5394.9639566473761</v>
      </c>
      <c r="S51" s="273">
        <f t="shared" si="6"/>
        <v>104411.73024405916</v>
      </c>
      <c r="T51" s="338" t="str">
        <f>IF($J51='Vehicle and Delay Conversion'!$D$37,'Vehicle and Delay Conversion'!$D$41,"")</f>
        <v/>
      </c>
      <c r="U51" s="337">
        <f>IF(T51="",IF(MAX(T52:T$94)&gt;0,T$44+(MAX(T$45:T$100)-T$44)*($J51-$J$44)/(MAX($I$45:$I$100)-$J$44),U50),T51)</f>
        <v>0</v>
      </c>
      <c r="V51" s="273">
        <f t="shared" si="7"/>
        <v>0</v>
      </c>
      <c r="W51" s="339">
        <f t="shared" si="15"/>
        <v>0.55720377943457733</v>
      </c>
      <c r="X51" s="275">
        <f t="shared" si="8"/>
        <v>343507.60997103766</v>
      </c>
      <c r="Y51" s="275">
        <f t="shared" si="9"/>
        <v>0</v>
      </c>
      <c r="Z51" s="275">
        <f t="shared" si="10"/>
        <v>58178.610709293323</v>
      </c>
      <c r="AA51" s="275">
        <f t="shared" si="11"/>
        <v>0</v>
      </c>
      <c r="AB51" s="308">
        <f t="shared" si="16"/>
        <v>8</v>
      </c>
    </row>
    <row r="52" spans="1:28" x14ac:dyDescent="0.25">
      <c r="A52" s="308">
        <f t="shared" si="12"/>
        <v>2026</v>
      </c>
      <c r="B52" s="491" t="s">
        <v>67</v>
      </c>
      <c r="C52" s="491"/>
      <c r="D52" s="491"/>
      <c r="E52" s="3">
        <f>'VOT growth'!F26*$E$43</f>
        <v>19.282169192379961</v>
      </c>
      <c r="F52" s="3">
        <f>'VOT growth'!G26*$F$43</f>
        <v>14.97630138072423</v>
      </c>
      <c r="G52" s="3">
        <f>'VOT growth'!H26*$G$43</f>
        <v>18.956098069795395</v>
      </c>
      <c r="H52" s="3">
        <f>'VOT growth'!I26*$H$43</f>
        <v>15.479023728416839</v>
      </c>
      <c r="I52" s="308" t="str">
        <f t="shared" si="13"/>
        <v/>
      </c>
      <c r="J52" s="21">
        <f t="shared" si="14"/>
        <v>2028</v>
      </c>
      <c r="K52" s="338" t="str">
        <f>IF(J52='Vehicle and Delay Conversion'!$D$37,'Vehicle and Delay Conversion'!$D$38,"")</f>
        <v/>
      </c>
      <c r="L52" s="337">
        <f>IF(K52="",IF(MAX(K53:K$94)&gt;0,K$44+(MAX(K$45:K$100)-K$44)*($J52-$J$44)/(MAX($I$45:$I$100)-$J$44),L51),K52)</f>
        <v>31315.159038755839</v>
      </c>
      <c r="M52" s="273">
        <f t="shared" si="4"/>
        <v>629216.94986292557</v>
      </c>
      <c r="N52" s="338" t="str">
        <f>IF($J52='Vehicle and Delay Conversion'!$D$37,'Vehicle and Delay Conversion'!$D$39,"")</f>
        <v/>
      </c>
      <c r="O52" s="337">
        <f>IF(N52="",IF(MAX(N53:N$94)&gt;0,N$44+(MAX(N$45:N$100)-N$44)*($J52-$J$44)/(MAX($I$45:$I$100)-$J$44),O51),N52)</f>
        <v>0</v>
      </c>
      <c r="P52" s="273">
        <f t="shared" si="5"/>
        <v>0</v>
      </c>
      <c r="Q52" s="338" t="str">
        <f>IF($J52='Vehicle and Delay Conversion'!$D$37,'Vehicle and Delay Conversion'!$D$40,"")</f>
        <v/>
      </c>
      <c r="R52" s="337">
        <f>IF(Q52="",IF(MAX(Q53:Q$94)&gt;0,Q$44+(MAX(Q$45:Q$100)-Q$44)*($J52-$J$44)/(MAX($I$45:$I$100)-$J$44),R51),Q52)</f>
        <v>5394.9639566473761</v>
      </c>
      <c r="S52" s="273">
        <f t="shared" si="6"/>
        <v>106568.14264129561</v>
      </c>
      <c r="T52" s="338" t="str">
        <f>IF($J52='Vehicle and Delay Conversion'!$D$37,'Vehicle and Delay Conversion'!$D$41,"")</f>
        <v/>
      </c>
      <c r="U52" s="337">
        <f>IF(T52="",IF(MAX(T53:T$94)&gt;0,T$44+(MAX(T$45:T$100)-T$44)*($J52-$J$44)/(MAX($I$45:$I$100)-$J$44),U51),T52)</f>
        <v>0</v>
      </c>
      <c r="V52" s="273">
        <f t="shared" si="7"/>
        <v>0</v>
      </c>
      <c r="W52" s="339">
        <f t="shared" si="15"/>
        <v>0.53836113955031628</v>
      </c>
      <c r="X52" s="275">
        <f t="shared" si="8"/>
        <v>338745.95415257884</v>
      </c>
      <c r="Y52" s="275">
        <f t="shared" si="9"/>
        <v>0</v>
      </c>
      <c r="Z52" s="275">
        <f t="shared" si="10"/>
        <v>57372.146712128553</v>
      </c>
      <c r="AA52" s="275">
        <f t="shared" si="11"/>
        <v>0</v>
      </c>
      <c r="AB52" s="308">
        <f t="shared" si="16"/>
        <v>9</v>
      </c>
    </row>
    <row r="53" spans="1:28" x14ac:dyDescent="0.25">
      <c r="A53" s="308">
        <f t="shared" si="12"/>
        <v>2027</v>
      </c>
      <c r="B53" s="491" t="s">
        <v>66</v>
      </c>
      <c r="C53" s="491"/>
      <c r="D53" s="491"/>
      <c r="E53" s="3">
        <f>'VOT growth'!F27*$E$43</f>
        <v>19.686462665283731</v>
      </c>
      <c r="F53" s="3">
        <f>'VOT growth'!G27*$F$43</f>
        <v>15.290312778303882</v>
      </c>
      <c r="G53" s="3">
        <f>'VOT growth'!H27*$G$43</f>
        <v>19.353554737916053</v>
      </c>
      <c r="H53" s="3">
        <f>'VOT growth'!I27*$H$43</f>
        <v>15.803575815782331</v>
      </c>
      <c r="I53" s="308" t="str">
        <f t="shared" si="13"/>
        <v/>
      </c>
      <c r="J53" s="21">
        <f t="shared" si="14"/>
        <v>2029</v>
      </c>
      <c r="K53" s="338" t="str">
        <f>IF(J53='Vehicle and Delay Conversion'!$D$37,'Vehicle and Delay Conversion'!$D$38,"")</f>
        <v/>
      </c>
      <c r="L53" s="337">
        <f>IF(K53="",IF(MAX(K54:K$94)&gt;0,K$44+(MAX(K$45:K$100)-K$44)*($J53-$J$44)/(MAX($I$45:$I$100)-$J$44),L52),K53)</f>
        <v>31315.159038755839</v>
      </c>
      <c r="M53" s="273">
        <f t="shared" si="4"/>
        <v>642021.01865886676</v>
      </c>
      <c r="N53" s="338" t="str">
        <f>IF($J53='Vehicle and Delay Conversion'!$D$37,'Vehicle and Delay Conversion'!$D$39,"")</f>
        <v/>
      </c>
      <c r="O53" s="337">
        <f>IF(N53="",IF(MAX(N54:N$94)&gt;0,N$44+(MAX(N$45:N$100)-N$44)*($J53-$J$44)/(MAX($I$45:$I$100)-$J$44),O52),N53)</f>
        <v>0</v>
      </c>
      <c r="P53" s="273">
        <f t="shared" si="5"/>
        <v>0</v>
      </c>
      <c r="Q53" s="338" t="str">
        <f>IF($J53='Vehicle and Delay Conversion'!$D$37,'Vehicle and Delay Conversion'!$D$40,"")</f>
        <v/>
      </c>
      <c r="R53" s="337">
        <f>IF(Q53="",IF(MAX(Q54:Q$94)&gt;0,Q$44+(MAX(Q$45:Q$100)-Q$44)*($J53-$J$44)/(MAX($I$45:$I$100)-$J$44),R52),Q53)</f>
        <v>5394.9639566473761</v>
      </c>
      <c r="S53" s="273">
        <f t="shared" si="6"/>
        <v>108736.72031570839</v>
      </c>
      <c r="T53" s="338" t="str">
        <f>IF($J53='Vehicle and Delay Conversion'!$D$37,'Vehicle and Delay Conversion'!$D$41,"")</f>
        <v/>
      </c>
      <c r="U53" s="337">
        <f>IF(T53="",IF(MAX(T54:T$94)&gt;0,T$44+(MAX(T$45:T$100)-T$44)*($J53-$J$44)/(MAX($I$45:$I$100)-$J$44),U52),T53)</f>
        <v>0</v>
      </c>
      <c r="V53" s="273">
        <f t="shared" si="7"/>
        <v>0</v>
      </c>
      <c r="W53" s="339">
        <f t="shared" si="15"/>
        <v>0.520155690386779</v>
      </c>
      <c r="X53" s="275">
        <f t="shared" si="8"/>
        <v>333950.88620332594</v>
      </c>
      <c r="Y53" s="275">
        <f t="shared" si="9"/>
        <v>0</v>
      </c>
      <c r="Z53" s="275">
        <f t="shared" si="10"/>
        <v>56560.023826211393</v>
      </c>
      <c r="AA53" s="275">
        <f t="shared" si="11"/>
        <v>0</v>
      </c>
      <c r="AB53" s="308">
        <f t="shared" si="16"/>
        <v>10</v>
      </c>
    </row>
    <row r="54" spans="1:28" x14ac:dyDescent="0.25">
      <c r="A54" s="308">
        <f t="shared" si="12"/>
        <v>2028</v>
      </c>
      <c r="B54" s="491" t="s">
        <v>65</v>
      </c>
      <c r="C54" s="491"/>
      <c r="D54" s="491"/>
      <c r="E54" s="3">
        <f>'VOT growth'!F28*$E$43</f>
        <v>20.093046600344667</v>
      </c>
      <c r="F54" s="3">
        <f>'VOT growth'!G28*$F$43</f>
        <v>15.606103158902746</v>
      </c>
      <c r="G54" s="3">
        <f>'VOT growth'!H28*$G$43</f>
        <v>19.753263135333505</v>
      </c>
      <c r="H54" s="3">
        <f>'VOT growth'!I28*$H$43</f>
        <v>16.129966602815177</v>
      </c>
      <c r="I54" s="308" t="str">
        <f t="shared" si="13"/>
        <v/>
      </c>
      <c r="J54" s="21">
        <f t="shared" si="14"/>
        <v>2030</v>
      </c>
      <c r="K54" s="338" t="str">
        <f>IF(J54='Vehicle and Delay Conversion'!$D$37,'Vehicle and Delay Conversion'!$D$38,"")</f>
        <v/>
      </c>
      <c r="L54" s="337">
        <f>IF(K54="",IF(MAX(K55:K$94)&gt;0,K$44+(MAX(K$45:K$100)-K$44)*($J54-$J$44)/(MAX($I$45:$I$100)-$J$44),L53),K54)</f>
        <v>31315.159038755839</v>
      </c>
      <c r="M54" s="273">
        <f t="shared" si="4"/>
        <v>654895.33501849638</v>
      </c>
      <c r="N54" s="338" t="str">
        <f>IF($J54='Vehicle and Delay Conversion'!$D$37,'Vehicle and Delay Conversion'!$D$39,"")</f>
        <v/>
      </c>
      <c r="O54" s="337">
        <f>IF(N54="",IF(MAX(N55:N$94)&gt;0,N$44+(MAX(N$45:N$100)-N$44)*($J54-$J$44)/(MAX($I$45:$I$100)-$J$44),O53),N54)</f>
        <v>0</v>
      </c>
      <c r="P54" s="273">
        <f t="shared" si="5"/>
        <v>0</v>
      </c>
      <c r="Q54" s="338" t="str">
        <f>IF($J54='Vehicle and Delay Conversion'!$D$37,'Vehicle and Delay Conversion'!$D$40,"")</f>
        <v/>
      </c>
      <c r="R54" s="337">
        <f>IF(Q54="",IF(MAX(Q55:Q$94)&gt;0,Q$44+(MAX(Q$45:Q$100)-Q$44)*($J54-$J$44)/(MAX($I$45:$I$100)-$J$44),R53),Q54)</f>
        <v>5394.9639566473761</v>
      </c>
      <c r="S54" s="273">
        <f t="shared" si="6"/>
        <v>110917.19555961438</v>
      </c>
      <c r="T54" s="338" t="str">
        <f>IF($J54='Vehicle and Delay Conversion'!$D$37,'Vehicle and Delay Conversion'!$D$41,"")</f>
        <v/>
      </c>
      <c r="U54" s="337">
        <f>IF(T54="",IF(MAX(T55:T$94)&gt;0,T$44+(MAX(T$45:T$100)-T$44)*($J54-$J$44)/(MAX($I$45:$I$100)-$J$44),U53),T54)</f>
        <v>0</v>
      </c>
      <c r="V54" s="273">
        <f t="shared" si="7"/>
        <v>0</v>
      </c>
      <c r="W54" s="339">
        <f t="shared" si="15"/>
        <v>0.50256588443167061</v>
      </c>
      <c r="X54" s="275">
        <f t="shared" si="8"/>
        <v>329128.05325374583</v>
      </c>
      <c r="Y54" s="275">
        <f t="shared" si="9"/>
        <v>0</v>
      </c>
      <c r="Z54" s="275">
        <f t="shared" si="10"/>
        <v>55743.198485098168</v>
      </c>
      <c r="AA54" s="275">
        <f t="shared" si="11"/>
        <v>0</v>
      </c>
      <c r="AB54" s="308">
        <f t="shared" si="16"/>
        <v>11</v>
      </c>
    </row>
    <row r="55" spans="1:28" x14ac:dyDescent="0.25">
      <c r="A55" s="308">
        <f t="shared" si="12"/>
        <v>2029</v>
      </c>
      <c r="B55" s="491" t="s">
        <v>64</v>
      </c>
      <c r="C55" s="491"/>
      <c r="D55" s="491"/>
      <c r="E55" s="3">
        <f>'VOT growth'!F29*$E$43</f>
        <v>20.501924255415645</v>
      </c>
      <c r="F55" s="3">
        <f>'VOT growth'!G29*$F$43</f>
        <v>15.923675052868221</v>
      </c>
      <c r="G55" s="3">
        <f>'VOT growth'!H29*$G$43</f>
        <v>20.155226464808724</v>
      </c>
      <c r="H55" s="3">
        <f>'VOT growth'!I29*$H$43</f>
        <v>16.458198704801102</v>
      </c>
      <c r="I55" s="308" t="str">
        <f t="shared" si="13"/>
        <v/>
      </c>
      <c r="J55" s="21">
        <f t="shared" si="14"/>
        <v>2031</v>
      </c>
      <c r="K55" s="338" t="str">
        <f>IF(J55='Vehicle and Delay Conversion'!$D$37,'Vehicle and Delay Conversion'!$D$38,"")</f>
        <v/>
      </c>
      <c r="L55" s="337">
        <f>IF(K55="",IF(MAX(K56:K$94)&gt;0,K$44+(MAX(K$45:K$100)-K$44)*($J55-$J$44)/(MAX($I$45:$I$100)-$J$44),L54),K55)</f>
        <v>31315.159038755839</v>
      </c>
      <c r="M55" s="273">
        <f t="shared" si="4"/>
        <v>667837.76998854417</v>
      </c>
      <c r="N55" s="338" t="str">
        <f>IF($J55='Vehicle and Delay Conversion'!$D$37,'Vehicle and Delay Conversion'!$D$39,"")</f>
        <v/>
      </c>
      <c r="O55" s="337">
        <f>IF(N55="",IF(MAX(N56:N$94)&gt;0,N$44+(MAX(N$45:N$100)-N$44)*($J55-$J$44)/(MAX($I$45:$I$100)-$J$44),O54),N55)</f>
        <v>0</v>
      </c>
      <c r="P55" s="273">
        <f t="shared" si="5"/>
        <v>0</v>
      </c>
      <c r="Q55" s="338" t="str">
        <f>IF($J55='Vehicle and Delay Conversion'!$D$37,'Vehicle and Delay Conversion'!$D$40,"")</f>
        <v/>
      </c>
      <c r="R55" s="337">
        <f>IF(Q55="",IF(MAX(Q56:Q$94)&gt;0,Q$44+(MAX(Q$45:Q$100)-Q$44)*($J55-$J$44)/(MAX($I$45:$I$100)-$J$44),R54),Q55)</f>
        <v>5394.9639566473761</v>
      </c>
      <c r="S55" s="273">
        <f t="shared" si="6"/>
        <v>113109.20780008916</v>
      </c>
      <c r="T55" s="338" t="str">
        <f>IF($J55='Vehicle and Delay Conversion'!$D$37,'Vehicle and Delay Conversion'!$D$41,"")</f>
        <v/>
      </c>
      <c r="U55" s="337">
        <f>IF(T55="",IF(MAX(T56:T$94)&gt;0,T$44+(MAX(T$45:T$100)-T$44)*($J55-$J$44)/(MAX($I$45:$I$100)-$J$44),U54),T55)</f>
        <v>0</v>
      </c>
      <c r="V55" s="273">
        <f t="shared" si="7"/>
        <v>0</v>
      </c>
      <c r="W55" s="339">
        <f t="shared" si="15"/>
        <v>0.48557090283253201</v>
      </c>
      <c r="X55" s="275">
        <f t="shared" si="8"/>
        <v>324282.58891900227</v>
      </c>
      <c r="Y55" s="275">
        <f t="shared" si="9"/>
        <v>0</v>
      </c>
      <c r="Z55" s="275">
        <f t="shared" si="10"/>
        <v>54922.540150161767</v>
      </c>
      <c r="AA55" s="275">
        <f t="shared" si="11"/>
        <v>0</v>
      </c>
      <c r="AB55" s="308">
        <f t="shared" si="16"/>
        <v>12</v>
      </c>
    </row>
    <row r="56" spans="1:28" x14ac:dyDescent="0.25">
      <c r="A56" s="308">
        <f t="shared" si="12"/>
        <v>2030</v>
      </c>
      <c r="B56" s="491" t="s">
        <v>63</v>
      </c>
      <c r="C56" s="491"/>
      <c r="D56" s="491"/>
      <c r="E56" s="3">
        <f>'VOT growth'!F30*$E$43</f>
        <v>20.91304515515932</v>
      </c>
      <c r="F56" s="3">
        <f>'VOT growth'!G30*$F$43</f>
        <v>16.242989256423126</v>
      </c>
      <c r="G56" s="3">
        <f>'VOT growth'!H30*$G$43</f>
        <v>20.559395104567539</v>
      </c>
      <c r="H56" s="3">
        <f>'VOT growth'!I30*$H$43</f>
        <v>16.78823160197614</v>
      </c>
      <c r="I56" s="308" t="str">
        <f t="shared" si="13"/>
        <v/>
      </c>
      <c r="J56" s="21">
        <f t="shared" si="14"/>
        <v>2032</v>
      </c>
      <c r="K56" s="338" t="str">
        <f>IF(J56='Vehicle and Delay Conversion'!$D$37,'Vehicle and Delay Conversion'!$D$38,"")</f>
        <v/>
      </c>
      <c r="L56" s="337">
        <f>IF(K56="",IF(MAX(K57:K$94)&gt;0,K$44+(MAX(K$45:K$100)-K$44)*($J56-$J$44)/(MAX($I$45:$I$100)-$J$44),L55),K56)</f>
        <v>31315.159038755839</v>
      </c>
      <c r="M56" s="273">
        <f t="shared" si="4"/>
        <v>680845.01475817815</v>
      </c>
      <c r="N56" s="338" t="str">
        <f>IF($J56='Vehicle and Delay Conversion'!$D$37,'Vehicle and Delay Conversion'!$D$39,"")</f>
        <v/>
      </c>
      <c r="O56" s="337">
        <f>IF(N56="",IF(MAX(N57:N$94)&gt;0,N$44+(MAX(N$45:N$100)-N$44)*($J56-$J$44)/(MAX($I$45:$I$100)-$J$44),O55),N56)</f>
        <v>0</v>
      </c>
      <c r="P56" s="273">
        <f t="shared" si="5"/>
        <v>0</v>
      </c>
      <c r="Q56" s="338" t="str">
        <f>IF($J56='Vehicle and Delay Conversion'!$D$37,'Vehicle and Delay Conversion'!$D$40,"")</f>
        <v/>
      </c>
      <c r="R56" s="337">
        <f>IF(Q56="",IF(MAX(Q57:Q$94)&gt;0,Q$44+(MAX(Q$45:Q$100)-Q$44)*($J56-$J$44)/(MAX($I$45:$I$100)-$J$44),R55),Q56)</f>
        <v>5394.9639566473761</v>
      </c>
      <c r="S56" s="273">
        <f t="shared" si="6"/>
        <v>115312.196636106</v>
      </c>
      <c r="T56" s="338" t="str">
        <f>IF($J56='Vehicle and Delay Conversion'!$D$37,'Vehicle and Delay Conversion'!$D$41,"")</f>
        <v/>
      </c>
      <c r="U56" s="337">
        <f>IF(T56="",IF(MAX(T57:T$94)&gt;0,T$44+(MAX(T$45:T$100)-T$44)*($J56-$J$44)/(MAX($I$45:$I$100)-$J$44),U55),T56)</f>
        <v>0</v>
      </c>
      <c r="V56" s="273">
        <f t="shared" si="7"/>
        <v>0</v>
      </c>
      <c r="W56" s="339">
        <f t="shared" si="15"/>
        <v>0.46915063075606961</v>
      </c>
      <c r="X56" s="275">
        <f t="shared" si="8"/>
        <v>319418.8681209248</v>
      </c>
      <c r="Y56" s="275">
        <f t="shared" si="9"/>
        <v>0</v>
      </c>
      <c r="Z56" s="275">
        <f t="shared" si="10"/>
        <v>54098.789785697059</v>
      </c>
      <c r="AA56" s="275">
        <f t="shared" si="11"/>
        <v>0</v>
      </c>
      <c r="AB56" s="308">
        <f t="shared" si="16"/>
        <v>13</v>
      </c>
    </row>
    <row r="57" spans="1:28" x14ac:dyDescent="0.25">
      <c r="A57" s="308">
        <f t="shared" si="12"/>
        <v>2031</v>
      </c>
      <c r="B57" s="491" t="s">
        <v>62</v>
      </c>
      <c r="C57" s="491"/>
      <c r="D57" s="491"/>
      <c r="E57" s="3">
        <f>'VOT growth'!F31*$E$43</f>
        <v>21.326341314825317</v>
      </c>
      <c r="F57" s="3">
        <f>'VOT growth'!G31*$F$43</f>
        <v>16.563992966373974</v>
      </c>
      <c r="G57" s="3">
        <f>'VOT growth'!H31*$G$43</f>
        <v>20.965702219515713</v>
      </c>
      <c r="H57" s="3">
        <f>'VOT growth'!I31*$H$43</f>
        <v>17.120010718656729</v>
      </c>
      <c r="I57" s="308" t="str">
        <f t="shared" si="13"/>
        <v/>
      </c>
      <c r="J57" s="21">
        <f t="shared" si="14"/>
        <v>2033</v>
      </c>
      <c r="K57" s="338" t="str">
        <f>IF(J57='Vehicle and Delay Conversion'!$D$37,'Vehicle and Delay Conversion'!$D$38,"")</f>
        <v/>
      </c>
      <c r="L57" s="337">
        <f>IF(K57="",IF(MAX(K58:K$94)&gt;0,K$44+(MAX(K$45:K$100)-K$44)*($J57-$J$44)/(MAX($I$45:$I$100)-$J$44),L56),K57)</f>
        <v>31315.159038755839</v>
      </c>
      <c r="M57" s="273">
        <f t="shared" si="4"/>
        <v>693912.51918045303</v>
      </c>
      <c r="N57" s="338" t="str">
        <f>IF($J57='Vehicle and Delay Conversion'!$D$37,'Vehicle and Delay Conversion'!$D$39,"")</f>
        <v/>
      </c>
      <c r="O57" s="337">
        <f>IF(N57="",IF(MAX(N58:N$94)&gt;0,N$44+(MAX(N$45:N$100)-N$44)*($J57-$J$44)/(MAX($I$45:$I$100)-$J$44),O56),N57)</f>
        <v>0</v>
      </c>
      <c r="P57" s="273">
        <f t="shared" si="5"/>
        <v>0</v>
      </c>
      <c r="Q57" s="338" t="str">
        <f>IF($J57='Vehicle and Delay Conversion'!$D$37,'Vehicle and Delay Conversion'!$D$40,"")</f>
        <v/>
      </c>
      <c r="R57" s="337">
        <f>IF(Q57="",IF(MAX(Q58:Q$94)&gt;0,Q$44+(MAX(Q$45:Q$100)-Q$44)*($J57-$J$44)/(MAX($I$45:$I$100)-$J$44),R56),Q57)</f>
        <v>5394.9639566473761</v>
      </c>
      <c r="S57" s="273">
        <f t="shared" si="6"/>
        <v>117525.39142614169</v>
      </c>
      <c r="T57" s="338" t="str">
        <f>IF($J57='Vehicle and Delay Conversion'!$D$37,'Vehicle and Delay Conversion'!$D$41,"")</f>
        <v/>
      </c>
      <c r="U57" s="337">
        <f>IF(T57="",IF(MAX(T58:T$94)&gt;0,T$44+(MAX(T$45:T$100)-T$44)*($J57-$J$44)/(MAX($I$45:$I$100)-$J$44),U56),T57)</f>
        <v>0</v>
      </c>
      <c r="V57" s="273">
        <f t="shared" si="7"/>
        <v>0</v>
      </c>
      <c r="W57" s="339">
        <f t="shared" si="15"/>
        <v>0.45328563358074364</v>
      </c>
      <c r="X57" s="275">
        <f t="shared" si="8"/>
        <v>314540.57590632158</v>
      </c>
      <c r="Y57" s="275">
        <f t="shared" si="9"/>
        <v>0</v>
      </c>
      <c r="Z57" s="275">
        <f t="shared" si="10"/>
        <v>53272.571514423536</v>
      </c>
      <c r="AA57" s="275">
        <f t="shared" si="11"/>
        <v>0</v>
      </c>
      <c r="AB57" s="308">
        <f t="shared" si="16"/>
        <v>14</v>
      </c>
    </row>
    <row r="58" spans="1:28" x14ac:dyDescent="0.25">
      <c r="A58" s="308">
        <f t="shared" si="12"/>
        <v>2032</v>
      </c>
      <c r="B58" s="491" t="s">
        <v>61</v>
      </c>
      <c r="C58" s="491"/>
      <c r="D58" s="491"/>
      <c r="E58" s="3">
        <f>'VOT growth'!F32*$E$43</f>
        <v>21.741707072780951</v>
      </c>
      <c r="F58" s="3">
        <f>'VOT growth'!G32*$F$43</f>
        <v>16.886604116204293</v>
      </c>
      <c r="G58" s="3">
        <f>'VOT growth'!H32*$G$43</f>
        <v>21.374043934811592</v>
      </c>
      <c r="H58" s="3">
        <f>'VOT growth'!I32*$H$43</f>
        <v>17.453451233529293</v>
      </c>
      <c r="I58" s="308" t="str">
        <f t="shared" si="13"/>
        <v/>
      </c>
      <c r="J58" s="21">
        <f t="shared" si="14"/>
        <v>2034</v>
      </c>
      <c r="K58" s="338" t="str">
        <f>IF(J58='Vehicle and Delay Conversion'!$D$37,'Vehicle and Delay Conversion'!$D$38,"")</f>
        <v/>
      </c>
      <c r="L58" s="337">
        <f>IF(K58="",IF(MAX(K59:K$94)&gt;0,K$44+(MAX(K$45:K$100)-K$44)*($J58-$J$44)/(MAX($I$45:$I$100)-$J$44),L57),K58)</f>
        <v>31315.159038755839</v>
      </c>
      <c r="M58" s="273">
        <f t="shared" si="4"/>
        <v>707462.22025049315</v>
      </c>
      <c r="N58" s="338" t="str">
        <f>IF($J58='Vehicle and Delay Conversion'!$D$37,'Vehicle and Delay Conversion'!$D$39,"")</f>
        <v/>
      </c>
      <c r="O58" s="337">
        <f>IF(N58="",IF(MAX(N59:N$94)&gt;0,N$44+(MAX(N$45:N$100)-N$44)*($J58-$J$44)/(MAX($I$45:$I$100)-$J$44),O57),N58)</f>
        <v>0</v>
      </c>
      <c r="P58" s="273">
        <f t="shared" si="5"/>
        <v>0</v>
      </c>
      <c r="Q58" s="338" t="str">
        <f>IF($J58='Vehicle and Delay Conversion'!$D$37,'Vehicle and Delay Conversion'!$D$40,"")</f>
        <v/>
      </c>
      <c r="R58" s="337">
        <f>IF(Q58="",IF(MAX(Q59:Q$94)&gt;0,Q$44+(MAX(Q$45:Q$100)-Q$44)*($J58-$J$44)/(MAX($I$45:$I$100)-$J$44),R57),Q58)</f>
        <v>5394.9639566473761</v>
      </c>
      <c r="S58" s="273">
        <f t="shared" si="6"/>
        <v>119820.25407517477</v>
      </c>
      <c r="T58" s="338" t="str">
        <f>IF($J58='Vehicle and Delay Conversion'!$D$37,'Vehicle and Delay Conversion'!$D$41,"")</f>
        <v/>
      </c>
      <c r="U58" s="337">
        <f>IF(T58="",IF(MAX(T59:T$94)&gt;0,T$44+(MAX(T$45:T$100)-T$44)*($J58-$J$44)/(MAX($I$45:$I$100)-$J$44),U57),T58)</f>
        <v>0</v>
      </c>
      <c r="V58" s="273">
        <f t="shared" si="7"/>
        <v>0</v>
      </c>
      <c r="W58" s="339">
        <f t="shared" si="15"/>
        <v>0.43795713389443836</v>
      </c>
      <c r="X58" s="275">
        <f t="shared" si="8"/>
        <v>309838.12631950184</v>
      </c>
      <c r="Y58" s="275">
        <f t="shared" si="9"/>
        <v>0</v>
      </c>
      <c r="Z58" s="275">
        <f t="shared" si="10"/>
        <v>52476.13505726694</v>
      </c>
      <c r="AA58" s="275">
        <f t="shared" si="11"/>
        <v>0</v>
      </c>
      <c r="AB58" s="308">
        <f t="shared" si="16"/>
        <v>15</v>
      </c>
    </row>
    <row r="59" spans="1:28" x14ac:dyDescent="0.25">
      <c r="A59" s="308">
        <f t="shared" si="12"/>
        <v>2033</v>
      </c>
      <c r="B59" s="491" t="s">
        <v>60</v>
      </c>
      <c r="C59" s="491"/>
      <c r="D59" s="491"/>
      <c r="E59" s="3">
        <f>'VOT growth'!F33*$E$43</f>
        <v>22.158997127291052</v>
      </c>
      <c r="F59" s="3">
        <f>'VOT growth'!G33*$F$43</f>
        <v>17.210709851257789</v>
      </c>
      <c r="G59" s="3">
        <f>'VOT growth'!H33*$G$43</f>
        <v>21.784277405845021</v>
      </c>
      <c r="H59" s="3">
        <f>'VOT growth'!I33*$H$43</f>
        <v>17.788436503648533</v>
      </c>
      <c r="I59" s="308" t="str">
        <f t="shared" si="13"/>
        <v/>
      </c>
      <c r="J59" s="21">
        <f t="shared" si="14"/>
        <v>2035</v>
      </c>
      <c r="K59" s="338" t="str">
        <f>IF(J59='Vehicle and Delay Conversion'!$D$37,'Vehicle and Delay Conversion'!$D$38,"")</f>
        <v/>
      </c>
      <c r="L59" s="337">
        <f>IF(K59="",IF(MAX(K60:K$94)&gt;0,K$44+(MAX(K$45:K$100)-K$44)*($J59-$J$44)/(MAX($I$45:$I$100)-$J$44),L58),K59)</f>
        <v>31315.159038755839</v>
      </c>
      <c r="M59" s="273">
        <f t="shared" si="4"/>
        <v>720630.97687576211</v>
      </c>
      <c r="N59" s="338" t="str">
        <f>IF($J59='Vehicle and Delay Conversion'!$D$37,'Vehicle and Delay Conversion'!$D$39,"")</f>
        <v/>
      </c>
      <c r="O59" s="337">
        <f>IF(N59="",IF(MAX(N60:N$94)&gt;0,N$44+(MAX(N$45:N$100)-N$44)*($J59-$J$44)/(MAX($I$45:$I$100)-$J$44),O58),N59)</f>
        <v>0</v>
      </c>
      <c r="P59" s="273">
        <f t="shared" si="5"/>
        <v>0</v>
      </c>
      <c r="Q59" s="338" t="str">
        <f>IF($J59='Vehicle and Delay Conversion'!$D$37,'Vehicle and Delay Conversion'!$D$40,"")</f>
        <v/>
      </c>
      <c r="R59" s="337">
        <f>IF(Q59="",IF(MAX(Q60:Q$94)&gt;0,Q$44+(MAX(Q$45:Q$100)-Q$44)*($J59-$J$44)/(MAX($I$45:$I$100)-$J$44),R58),Q59)</f>
        <v>5394.9639566473761</v>
      </c>
      <c r="S59" s="273">
        <f t="shared" si="6"/>
        <v>122050.59757554595</v>
      </c>
      <c r="T59" s="338" t="str">
        <f>IF($J59='Vehicle and Delay Conversion'!$D$37,'Vehicle and Delay Conversion'!$D$41,"")</f>
        <v/>
      </c>
      <c r="U59" s="337">
        <f>IF(T59="",IF(MAX(T60:T$94)&gt;0,T$44+(MAX(T$45:T$100)-T$44)*($J59-$J$44)/(MAX($I$45:$I$100)-$J$44),U58),T59)</f>
        <v>0</v>
      </c>
      <c r="V59" s="273">
        <f t="shared" si="7"/>
        <v>0</v>
      </c>
      <c r="W59" s="339">
        <f t="shared" si="15"/>
        <v>0.42314698926998878</v>
      </c>
      <c r="X59" s="275">
        <f t="shared" si="8"/>
        <v>304932.82823966962</v>
      </c>
      <c r="Y59" s="275">
        <f t="shared" si="9"/>
        <v>0</v>
      </c>
      <c r="Z59" s="275">
        <f t="shared" si="10"/>
        <v>51645.342902695258</v>
      </c>
      <c r="AA59" s="275">
        <f t="shared" si="11"/>
        <v>0</v>
      </c>
      <c r="AB59" s="308">
        <f t="shared" si="16"/>
        <v>16</v>
      </c>
    </row>
    <row r="60" spans="1:28" x14ac:dyDescent="0.25">
      <c r="A60" s="308">
        <f t="shared" si="12"/>
        <v>2034</v>
      </c>
      <c r="B60" s="491" t="s">
        <v>59</v>
      </c>
      <c r="C60" s="491"/>
      <c r="D60" s="491"/>
      <c r="E60" s="3">
        <f>'VOT growth'!F34*$E$43</f>
        <v>22.591685367937409</v>
      </c>
      <c r="F60" s="3">
        <f>'VOT growth'!G34*$F$43</f>
        <v>17.5467752301663</v>
      </c>
      <c r="G60" s="3">
        <f>'VOT growth'!H34*$G$43</f>
        <v>22.209648671987676</v>
      </c>
      <c r="H60" s="3">
        <f>'VOT growth'!I34*$H$43</f>
        <v>18.13578287724112</v>
      </c>
      <c r="I60" s="308" t="str">
        <f t="shared" si="13"/>
        <v/>
      </c>
      <c r="J60" s="21">
        <f t="shared" si="14"/>
        <v>2036</v>
      </c>
      <c r="K60" s="338" t="str">
        <f>IF(J60='Vehicle and Delay Conversion'!$D$37,'Vehicle and Delay Conversion'!$D$38,"")</f>
        <v/>
      </c>
      <c r="L60" s="337">
        <f>IF(K60="",IF(MAX(K61:K$94)&gt;0,K$44+(MAX(K$45:K$100)-K$44)*($J60-$J$44)/(MAX($I$45:$I$100)-$J$44),L59),K60)</f>
        <v>31315.159038755839</v>
      </c>
      <c r="M60" s="273">
        <f t="shared" si="4"/>
        <v>733840.36185597267</v>
      </c>
      <c r="N60" s="338" t="str">
        <f>IF($J60='Vehicle and Delay Conversion'!$D$37,'Vehicle and Delay Conversion'!$D$39,"")</f>
        <v/>
      </c>
      <c r="O60" s="337">
        <f>IF(N60="",IF(MAX(N61:N$94)&gt;0,N$44+(MAX(N$45:N$100)-N$44)*($J60-$J$44)/(MAX($I$45:$I$100)-$J$44),O59),N60)</f>
        <v>0</v>
      </c>
      <c r="P60" s="273">
        <f t="shared" si="5"/>
        <v>0</v>
      </c>
      <c r="Q60" s="338" t="str">
        <f>IF($J60='Vehicle and Delay Conversion'!$D$37,'Vehicle and Delay Conversion'!$D$40,"")</f>
        <v/>
      </c>
      <c r="R60" s="337">
        <f>IF(Q60="",IF(MAX(Q61:Q$94)&gt;0,Q$44+(MAX(Q$45:Q$100)-Q$44)*($J60-$J$44)/(MAX($I$45:$I$100)-$J$44),R59),Q60)</f>
        <v>5394.9639566473761</v>
      </c>
      <c r="S60" s="273">
        <f t="shared" si="6"/>
        <v>124287.82214980693</v>
      </c>
      <c r="T60" s="338" t="str">
        <f>IF($J60='Vehicle and Delay Conversion'!$D$37,'Vehicle and Delay Conversion'!$D$41,"")</f>
        <v/>
      </c>
      <c r="U60" s="337">
        <f>IF(T60="",IF(MAX(T61:T$94)&gt;0,T$44+(MAX(T$45:T$100)-T$44)*($J60-$J$44)/(MAX($I$45:$I$100)-$J$44),U59),T60)</f>
        <v>0</v>
      </c>
      <c r="V60" s="273">
        <f t="shared" si="7"/>
        <v>0</v>
      </c>
      <c r="W60" s="339">
        <f t="shared" si="15"/>
        <v>0.40883767079225974</v>
      </c>
      <c r="X60" s="275">
        <f t="shared" si="8"/>
        <v>300021.5842745449</v>
      </c>
      <c r="Y60" s="275">
        <f t="shared" si="9"/>
        <v>0</v>
      </c>
      <c r="Z60" s="275">
        <f t="shared" si="10"/>
        <v>50813.543715569693</v>
      </c>
      <c r="AA60" s="275">
        <f t="shared" si="11"/>
        <v>0</v>
      </c>
      <c r="AB60" s="308">
        <f t="shared" si="16"/>
        <v>17</v>
      </c>
    </row>
    <row r="61" spans="1:28" x14ac:dyDescent="0.25">
      <c r="A61" s="308">
        <f t="shared" si="12"/>
        <v>2035</v>
      </c>
      <c r="B61" s="491" t="s">
        <v>58</v>
      </c>
      <c r="C61" s="491"/>
      <c r="D61" s="491"/>
      <c r="E61" s="3">
        <f>'VOT growth'!F35*$E$43</f>
        <v>23.012208751164401</v>
      </c>
      <c r="F61" s="3">
        <f>'VOT growth'!G35*$F$43</f>
        <v>17.873392264900026</v>
      </c>
      <c r="G61" s="3">
        <f>'VOT growth'!H35*$G$43</f>
        <v>22.623060794532641</v>
      </c>
      <c r="H61" s="3">
        <f>'VOT growth'!I35*$H$43</f>
        <v>18.473363745989907</v>
      </c>
      <c r="I61" s="308" t="str">
        <f t="shared" si="13"/>
        <v/>
      </c>
      <c r="J61" s="21">
        <f t="shared" si="14"/>
        <v>2037</v>
      </c>
      <c r="K61" s="338" t="str">
        <f>IF(J61='Vehicle and Delay Conversion'!$D$37,'Vehicle and Delay Conversion'!$D$38,"")</f>
        <v/>
      </c>
      <c r="L61" s="337">
        <f>IF(K61="",IF(MAX(K62:K$94)&gt;0,K$44+(MAX(K$45:K$100)-K$44)*($J61-$J$44)/(MAX($I$45:$I$100)-$J$44),L60),K61)</f>
        <v>31315.159038755839</v>
      </c>
      <c r="M61" s="273">
        <f t="shared" si="4"/>
        <v>747083.56866122503</v>
      </c>
      <c r="N61" s="338" t="str">
        <f>IF($J61='Vehicle and Delay Conversion'!$D$37,'Vehicle and Delay Conversion'!$D$39,"")</f>
        <v/>
      </c>
      <c r="O61" s="337">
        <f>IF(N61="",IF(MAX(N62:N$94)&gt;0,N$44+(MAX(N$45:N$100)-N$44)*($J61-$J$44)/(MAX($I$45:$I$100)-$J$44),O60),N61)</f>
        <v>0</v>
      </c>
      <c r="P61" s="273">
        <f t="shared" si="5"/>
        <v>0</v>
      </c>
      <c r="Q61" s="338" t="str">
        <f>IF($J61='Vehicle and Delay Conversion'!$D$37,'Vehicle and Delay Conversion'!$D$40,"")</f>
        <v/>
      </c>
      <c r="R61" s="337">
        <f>IF(Q61="",IF(MAX(Q62:Q$94)&gt;0,Q$44+(MAX(Q$45:Q$100)-Q$44)*($J61-$J$44)/(MAX($I$45:$I$100)-$J$44),R60),Q61)</f>
        <v>5394.9639566473761</v>
      </c>
      <c r="S61" s="273">
        <f t="shared" si="6"/>
        <v>126530.77500121652</v>
      </c>
      <c r="T61" s="338" t="str">
        <f>IF($J61='Vehicle and Delay Conversion'!$D$37,'Vehicle and Delay Conversion'!$D$41,"")</f>
        <v/>
      </c>
      <c r="U61" s="337">
        <f>IF(T61="",IF(MAX(T62:T$94)&gt;0,T$44+(MAX(T$45:T$100)-T$44)*($J61-$J$44)/(MAX($I$45:$I$100)-$J$44),U60),T61)</f>
        <v>0</v>
      </c>
      <c r="V61" s="273">
        <f t="shared" si="7"/>
        <v>0</v>
      </c>
      <c r="W61" s="339">
        <f t="shared" si="15"/>
        <v>0.39501224231136212</v>
      </c>
      <c r="X61" s="275">
        <f t="shared" si="8"/>
        <v>295107.15565084497</v>
      </c>
      <c r="Y61" s="275">
        <f t="shared" si="9"/>
        <v>0</v>
      </c>
      <c r="Z61" s="275">
        <f t="shared" si="10"/>
        <v>49981.205154624979</v>
      </c>
      <c r="AA61" s="275">
        <f t="shared" si="11"/>
        <v>0</v>
      </c>
      <c r="AB61" s="308">
        <f t="shared" si="16"/>
        <v>18</v>
      </c>
    </row>
    <row r="62" spans="1:28" x14ac:dyDescent="0.25">
      <c r="A62" s="308">
        <f t="shared" si="12"/>
        <v>2036</v>
      </c>
      <c r="B62" s="491" t="s">
        <v>57</v>
      </c>
      <c r="C62" s="491"/>
      <c r="D62" s="491"/>
      <c r="E62" s="3">
        <f>'VOT growth'!F36*$E$43</f>
        <v>23.434029536550245</v>
      </c>
      <c r="F62" s="3">
        <f>'VOT growth'!G36*$F$43</f>
        <v>18.201016981163214</v>
      </c>
      <c r="G62" s="3">
        <f>'VOT growth'!H36*$G$43</f>
        <v>23.037748379517225</v>
      </c>
      <c r="H62" s="3">
        <f>'VOT growth'!I36*$H$43</f>
        <v>18.811986121977935</v>
      </c>
      <c r="I62" s="308" t="str">
        <f t="shared" si="13"/>
        <v/>
      </c>
      <c r="J62" s="21">
        <f t="shared" si="14"/>
        <v>2038</v>
      </c>
      <c r="K62" s="338" t="str">
        <f>IF(J62='Vehicle and Delay Conversion'!$D$37,'Vehicle and Delay Conversion'!$D$38,"")</f>
        <v/>
      </c>
      <c r="L62" s="337">
        <f>IF(K62="",IF(MAX(K63:K$94)&gt;0,K$44+(MAX(K$45:K$100)-K$44)*($J62-$J$44)/(MAX($I$45:$I$100)-$J$44),L61),K62)</f>
        <v>31315.159038755839</v>
      </c>
      <c r="M62" s="273">
        <f t="shared" si="4"/>
        <v>760385.41746275139</v>
      </c>
      <c r="N62" s="338" t="str">
        <f>IF($J62='Vehicle and Delay Conversion'!$D$37,'Vehicle and Delay Conversion'!$D$39,"")</f>
        <v/>
      </c>
      <c r="O62" s="337">
        <f>IF(N62="",IF(MAX(N63:N$94)&gt;0,N$44+(MAX(N$45:N$100)-N$44)*($J62-$J$44)/(MAX($I$45:$I$100)-$J$44),O61),N62)</f>
        <v>0</v>
      </c>
      <c r="P62" s="273">
        <f t="shared" si="5"/>
        <v>0</v>
      </c>
      <c r="Q62" s="338" t="str">
        <f>IF($J62='Vehicle and Delay Conversion'!$D$37,'Vehicle and Delay Conversion'!$D$40,"")</f>
        <v/>
      </c>
      <c r="R62" s="337">
        <f>IF(Q62="",IF(MAX(Q63:Q$94)&gt;0,Q$44+(MAX(Q$45:Q$100)-Q$44)*($J62-$J$44)/(MAX($I$45:$I$100)-$J$44),R61),Q62)</f>
        <v>5394.9639566473761</v>
      </c>
      <c r="S62" s="273">
        <f t="shared" si="6"/>
        <v>128783.65983018184</v>
      </c>
      <c r="T62" s="338" t="str">
        <f>IF($J62='Vehicle and Delay Conversion'!$D$37,'Vehicle and Delay Conversion'!$D$41,"")</f>
        <v/>
      </c>
      <c r="U62" s="337">
        <f>IF(T62="",IF(MAX(T63:T$94)&gt;0,T$44+(MAX(T$45:T$100)-T$44)*($J62-$J$44)/(MAX($I$45:$I$100)-$J$44),U61),T62)</f>
        <v>0</v>
      </c>
      <c r="V62" s="273">
        <f t="shared" si="7"/>
        <v>0</v>
      </c>
      <c r="W62" s="339">
        <f t="shared" si="15"/>
        <v>0.38165434039745133</v>
      </c>
      <c r="X62" s="275">
        <f t="shared" si="8"/>
        <v>290204.39494958706</v>
      </c>
      <c r="Y62" s="275">
        <f t="shared" si="9"/>
        <v>0</v>
      </c>
      <c r="Z62" s="275">
        <f t="shared" si="10"/>
        <v>49150.842746457798</v>
      </c>
      <c r="AA62" s="275">
        <f t="shared" si="11"/>
        <v>0</v>
      </c>
      <c r="AB62" s="308">
        <f t="shared" si="16"/>
        <v>19</v>
      </c>
    </row>
    <row r="63" spans="1:28" x14ac:dyDescent="0.25">
      <c r="A63" s="308">
        <f t="shared" si="12"/>
        <v>2037</v>
      </c>
      <c r="B63" s="491" t="s">
        <v>56</v>
      </c>
      <c r="C63" s="491"/>
      <c r="D63" s="491"/>
      <c r="E63" s="3">
        <f>'VOT growth'!F37*$E$43</f>
        <v>23.85693036834428</v>
      </c>
      <c r="F63" s="3">
        <f>'VOT growth'!G37*$F$43</f>
        <v>18.529480560541476</v>
      </c>
      <c r="G63" s="3">
        <f>'VOT growth'!H37*$G$43</f>
        <v>23.453497746785185</v>
      </c>
      <c r="H63" s="3">
        <f>'VOT growth'!I37*$H$43</f>
        <v>19.151475519918392</v>
      </c>
      <c r="I63" s="308" t="str">
        <f t="shared" si="13"/>
        <v/>
      </c>
      <c r="J63" s="21">
        <f t="shared" si="14"/>
        <v>2039</v>
      </c>
      <c r="K63" s="338" t="str">
        <f>IF(J63='Vehicle and Delay Conversion'!$D$37,'Vehicle and Delay Conversion'!$D$38,"")</f>
        <v/>
      </c>
      <c r="L63" s="337">
        <f>IF(K63="",IF(MAX(K64:K$94)&gt;0,K$44+(MAX(K$45:K$100)-K$44)*($J63-$J$44)/(MAX($I$45:$I$100)-$J$44),L62),K63)</f>
        <v>31315.159038755839</v>
      </c>
      <c r="M63" s="273">
        <f t="shared" si="4"/>
        <v>773687.26626427786</v>
      </c>
      <c r="N63" s="338" t="str">
        <f>IF($J63='Vehicle and Delay Conversion'!$D$37,'Vehicle and Delay Conversion'!$D$39,"")</f>
        <v/>
      </c>
      <c r="O63" s="337">
        <f>IF(N63="",IF(MAX(N64:N$94)&gt;0,N$44+(MAX(N$45:N$100)-N$44)*($J63-$J$44)/(MAX($I$45:$I$100)-$J$44),O62),N63)</f>
        <v>0</v>
      </c>
      <c r="P63" s="273">
        <f t="shared" si="5"/>
        <v>0</v>
      </c>
      <c r="Q63" s="338" t="str">
        <f>IF($J63='Vehicle and Delay Conversion'!$D$37,'Vehicle and Delay Conversion'!$D$40,"")</f>
        <v/>
      </c>
      <c r="R63" s="337">
        <f>IF(Q63="",IF(MAX(Q64:Q$94)&gt;0,Q$44+(MAX(Q$45:Q$100)-Q$44)*($J63-$J$44)/(MAX($I$45:$I$100)-$J$44),R62),Q63)</f>
        <v>5394.9639566473761</v>
      </c>
      <c r="S63" s="273">
        <f t="shared" si="6"/>
        <v>131036.54465914717</v>
      </c>
      <c r="T63" s="338" t="str">
        <f>IF($J63='Vehicle and Delay Conversion'!$D$37,'Vehicle and Delay Conversion'!$D$41,"")</f>
        <v/>
      </c>
      <c r="U63" s="337">
        <f>IF(T63="",IF(MAX(T64:T$94)&gt;0,T$44+(MAX(T$45:T$100)-T$44)*($J63-$J$44)/(MAX($I$45:$I$100)-$J$44),U62),T63)</f>
        <v>0</v>
      </c>
      <c r="V63" s="273">
        <f t="shared" si="7"/>
        <v>0</v>
      </c>
      <c r="W63" s="339">
        <f t="shared" si="15"/>
        <v>0.36874815497338298</v>
      </c>
      <c r="X63" s="275">
        <f t="shared" si="8"/>
        <v>285295.75196135294</v>
      </c>
      <c r="Y63" s="275">
        <f t="shared" si="9"/>
        <v>0</v>
      </c>
      <c r="Z63" s="275">
        <f t="shared" si="10"/>
        <v>48319.484077147819</v>
      </c>
      <c r="AA63" s="275">
        <f t="shared" si="11"/>
        <v>0</v>
      </c>
      <c r="AB63" s="308">
        <f t="shared" si="16"/>
        <v>20</v>
      </c>
    </row>
    <row r="64" spans="1:28" x14ac:dyDescent="0.25">
      <c r="A64" s="308">
        <f t="shared" si="12"/>
        <v>2038</v>
      </c>
      <c r="B64" s="491" t="s">
        <v>55</v>
      </c>
      <c r="C64" s="491"/>
      <c r="D64" s="491"/>
      <c r="E64" s="3">
        <f>'VOT growth'!F38*$E$43</f>
        <v>24.28170383939911</v>
      </c>
      <c r="F64" s="3">
        <f>'VOT growth'!G38*$F$43</f>
        <v>18.859398603350037</v>
      </c>
      <c r="G64" s="3">
        <f>'VOT growth'!H38*$G$43</f>
        <v>23.871088086047681</v>
      </c>
      <c r="H64" s="3">
        <f>'VOT growth'!I38*$H$43</f>
        <v>19.492468204510025</v>
      </c>
      <c r="I64" s="308" t="str">
        <f t="shared" si="13"/>
        <v/>
      </c>
      <c r="J64" s="21">
        <f t="shared" si="14"/>
        <v>2040</v>
      </c>
      <c r="K64" s="338" t="str">
        <f>IF(J64='Vehicle and Delay Conversion'!$D$37,'Vehicle and Delay Conversion'!$D$38,"")</f>
        <v/>
      </c>
      <c r="L64" s="337">
        <f>IF(K64="",IF(MAX(K65:K$94)&gt;0,K$44+(MAX(K$45:K$100)-K$44)*($J64-$J$44)/(MAX($I$45:$I$100)-$J$44),L63),K64)</f>
        <v>31315.159038755839</v>
      </c>
      <c r="M64" s="273">
        <f t="shared" si="4"/>
        <v>786989.11506580433</v>
      </c>
      <c r="N64" s="338" t="str">
        <f>IF($J64='Vehicle and Delay Conversion'!$D$37,'Vehicle and Delay Conversion'!$D$39,"")</f>
        <v/>
      </c>
      <c r="O64" s="337">
        <f>IF(N64="",IF(MAX(N65:N$94)&gt;0,N$44+(MAX(N$45:N$100)-N$44)*($J64-$J$44)/(MAX($I$45:$I$100)-$J$44),O63),N64)</f>
        <v>0</v>
      </c>
      <c r="P64" s="273">
        <f t="shared" si="5"/>
        <v>0</v>
      </c>
      <c r="Q64" s="338" t="str">
        <f>IF($J64='Vehicle and Delay Conversion'!$D$37,'Vehicle and Delay Conversion'!$D$40,"")</f>
        <v/>
      </c>
      <c r="R64" s="337">
        <f>IF(Q64="",IF(MAX(Q65:Q$94)&gt;0,Q$44+(MAX(Q$45:Q$100)-Q$44)*($J64-$J$44)/(MAX($I$45:$I$100)-$J$44),R63),Q64)</f>
        <v>5394.9639566473761</v>
      </c>
      <c r="S64" s="273">
        <f t="shared" si="6"/>
        <v>133289.42948811248</v>
      </c>
      <c r="T64" s="338" t="str">
        <f>IF($J64='Vehicle and Delay Conversion'!$D$37,'Vehicle and Delay Conversion'!$D$41,"")</f>
        <v/>
      </c>
      <c r="U64" s="337">
        <f>IF(T64="",IF(MAX(T65:T$94)&gt;0,T$44+(MAX(T$45:T$100)-T$44)*($J64-$J$44)/(MAX($I$45:$I$100)-$J$44),U63),T64)</f>
        <v>0</v>
      </c>
      <c r="V64" s="273">
        <f t="shared" si="7"/>
        <v>0</v>
      </c>
      <c r="W64" s="339">
        <f t="shared" si="15"/>
        <v>0.35627841060230242</v>
      </c>
      <c r="X64" s="275">
        <f t="shared" si="8"/>
        <v>280387.23107695725</v>
      </c>
      <c r="Y64" s="275">
        <f t="shared" si="9"/>
        <v>0</v>
      </c>
      <c r="Z64" s="275">
        <f t="shared" si="10"/>
        <v>47488.146088112371</v>
      </c>
      <c r="AA64" s="275">
        <f t="shared" si="11"/>
        <v>0</v>
      </c>
      <c r="AB64" s="308">
        <f t="shared" si="16"/>
        <v>21</v>
      </c>
    </row>
    <row r="65" spans="1:28" x14ac:dyDescent="0.25">
      <c r="A65" s="308">
        <f t="shared" si="12"/>
        <v>2039</v>
      </c>
      <c r="B65" s="491" t="s">
        <v>54</v>
      </c>
      <c r="C65" s="491"/>
      <c r="D65" s="491"/>
      <c r="E65" s="3">
        <f>'VOT growth'!F39*$E$43</f>
        <v>24.706477310453945</v>
      </c>
      <c r="F65" s="3">
        <f>'VOT growth'!G39*$F$43</f>
        <v>19.189316646158598</v>
      </c>
      <c r="G65" s="3">
        <f>'VOT growth'!H39*$G$43</f>
        <v>24.288678425310181</v>
      </c>
      <c r="H65" s="3">
        <f>'VOT growth'!I39*$H$43</f>
        <v>19.833460889101662</v>
      </c>
      <c r="I65" s="308" t="str">
        <f t="shared" si="13"/>
        <v/>
      </c>
      <c r="J65" s="21">
        <f t="shared" si="14"/>
        <v>2041</v>
      </c>
      <c r="K65" s="338" t="str">
        <f>IF(J65='Vehicle and Delay Conversion'!$D$37,'Vehicle and Delay Conversion'!$D$38,"")</f>
        <v/>
      </c>
      <c r="L65" s="337">
        <f>IF(K65="",IF(MAX(K66:K$94)&gt;0,K$44+(MAX(K$45:K$100)-K$44)*($J65-$J$44)/(MAX($I$45:$I$100)-$J$44),L64),K65)</f>
        <v>31315.159038755839</v>
      </c>
      <c r="M65" s="273">
        <f t="shared" si="4"/>
        <v>800290.96386733081</v>
      </c>
      <c r="N65" s="338" t="str">
        <f>IF($J65='Vehicle and Delay Conversion'!$D$37,'Vehicle and Delay Conversion'!$D$39,"")</f>
        <v/>
      </c>
      <c r="O65" s="337">
        <f>IF(N65="",IF(MAX(N66:N$94)&gt;0,N$44+(MAX(N$45:N$100)-N$44)*($J65-$J$44)/(MAX($I$45:$I$100)-$J$44),O64),N65)</f>
        <v>0</v>
      </c>
      <c r="P65" s="273">
        <f t="shared" si="5"/>
        <v>0</v>
      </c>
      <c r="Q65" s="338" t="str">
        <f>IF($J65='Vehicle and Delay Conversion'!$D$37,'Vehicle and Delay Conversion'!$D$40,"")</f>
        <v/>
      </c>
      <c r="R65" s="337">
        <f>IF(Q65="",IF(MAX(Q66:Q$94)&gt;0,Q$44+(MAX(Q$45:Q$100)-Q$44)*($J65-$J$44)/(MAX($I$45:$I$100)-$J$44),R64),Q65)</f>
        <v>5394.9639566473761</v>
      </c>
      <c r="S65" s="273">
        <f t="shared" si="6"/>
        <v>135542.31431707783</v>
      </c>
      <c r="T65" s="338" t="str">
        <f>IF($J65='Vehicle and Delay Conversion'!$D$37,'Vehicle and Delay Conversion'!$D$41,"")</f>
        <v/>
      </c>
      <c r="U65" s="337">
        <f>IF(T65="",IF(MAX(T66:T$94)&gt;0,T$44+(MAX(T$45:T$100)-T$44)*($J65-$J$44)/(MAX($I$45:$I$100)-$J$44),U64),T65)</f>
        <v>0</v>
      </c>
      <c r="V65" s="273">
        <f t="shared" si="7"/>
        <v>0</v>
      </c>
      <c r="W65" s="339">
        <f t="shared" si="15"/>
        <v>0.34423034840802169</v>
      </c>
      <c r="X65" s="275">
        <f t="shared" si="8"/>
        <v>275484.43731984281</v>
      </c>
      <c r="Y65" s="275">
        <f t="shared" si="9"/>
        <v>0</v>
      </c>
      <c r="Z65" s="275">
        <f t="shared" si="10"/>
        <v>46657.778081397293</v>
      </c>
      <c r="AA65" s="275">
        <f t="shared" si="11"/>
        <v>0</v>
      </c>
      <c r="AB65" s="308">
        <f t="shared" si="16"/>
        <v>22</v>
      </c>
    </row>
    <row r="66" spans="1:28" x14ac:dyDescent="0.25">
      <c r="A66" s="308">
        <f t="shared" si="12"/>
        <v>2040</v>
      </c>
      <c r="B66" s="491" t="s">
        <v>53</v>
      </c>
      <c r="C66" s="491"/>
      <c r="D66" s="491"/>
      <c r="E66" s="3">
        <f>'VOT growth'!F40*$E$43</f>
        <v>25.131250781508779</v>
      </c>
      <c r="F66" s="3">
        <f>'VOT growth'!G40*$F$43</f>
        <v>19.519234688967156</v>
      </c>
      <c r="G66" s="3">
        <f>'VOT growth'!H40*$G$43</f>
        <v>24.706268764572677</v>
      </c>
      <c r="H66" s="3">
        <f>'VOT growth'!I40*$H$43</f>
        <v>20.174453573693295</v>
      </c>
      <c r="I66" s="308" t="str">
        <f t="shared" si="13"/>
        <v/>
      </c>
      <c r="J66" s="21">
        <f t="shared" si="14"/>
        <v>2042</v>
      </c>
      <c r="K66" s="338" t="str">
        <f>IF(J66='Vehicle and Delay Conversion'!$D$37,'Vehicle and Delay Conversion'!$D$38,"")</f>
        <v/>
      </c>
      <c r="L66" s="337">
        <f>IF(K66="",IF(MAX(K67:K$94)&gt;0,K$44+(MAX(K$45:K$100)-K$44)*($J66-$J$44)/(MAX($I$45:$I$100)-$J$44),L65),K66)</f>
        <v>31315.159038755839</v>
      </c>
      <c r="M66" s="273">
        <f t="shared" si="4"/>
        <v>813672.10393635056</v>
      </c>
      <c r="N66" s="338" t="str">
        <f>IF($J66='Vehicle and Delay Conversion'!$D$37,'Vehicle and Delay Conversion'!$D$39,"")</f>
        <v/>
      </c>
      <c r="O66" s="337">
        <f>IF(N66="",IF(MAX(N67:N$94)&gt;0,N$44+(MAX(N$45:N$100)-N$44)*($J66-$J$44)/(MAX($I$45:$I$100)-$J$44),O65),N66)</f>
        <v>0</v>
      </c>
      <c r="P66" s="273">
        <f t="shared" si="5"/>
        <v>0</v>
      </c>
      <c r="Q66" s="338" t="str">
        <f>IF($J66='Vehicle and Delay Conversion'!$D$37,'Vehicle and Delay Conversion'!$D$40,"")</f>
        <v/>
      </c>
      <c r="R66" s="337">
        <f>IF(Q66="",IF(MAX(Q67:Q$94)&gt;0,Q$44+(MAX(Q$45:Q$100)-Q$44)*($J66-$J$44)/(MAX($I$45:$I$100)-$J$44),R65),Q66)</f>
        <v>5394.9639566473761</v>
      </c>
      <c r="S66" s="273">
        <f t="shared" si="6"/>
        <v>137808.6284141299</v>
      </c>
      <c r="T66" s="338" t="str">
        <f>IF($J66='Vehicle and Delay Conversion'!$D$37,'Vehicle and Delay Conversion'!$D$41,"")</f>
        <v/>
      </c>
      <c r="U66" s="337">
        <f>IF(T66="",IF(MAX(T67:T$94)&gt;0,T$44+(MAX(T$45:T$100)-T$44)*($J66-$J$44)/(MAX($I$45:$I$100)-$J$44),U65),T66)</f>
        <v>0</v>
      </c>
      <c r="V66" s="273">
        <f t="shared" si="7"/>
        <v>0</v>
      </c>
      <c r="W66" s="339">
        <f t="shared" si="15"/>
        <v>0.33258970860678427</v>
      </c>
      <c r="X66" s="275">
        <f t="shared" si="8"/>
        <v>270618.96794965991</v>
      </c>
      <c r="Y66" s="275">
        <f t="shared" si="9"/>
        <v>0</v>
      </c>
      <c r="Z66" s="275">
        <f t="shared" si="10"/>
        <v>45833.731567756076</v>
      </c>
      <c r="AA66" s="275">
        <f t="shared" si="11"/>
        <v>0</v>
      </c>
      <c r="AB66" s="308">
        <f t="shared" si="16"/>
        <v>23</v>
      </c>
    </row>
    <row r="67" spans="1:28" x14ac:dyDescent="0.25">
      <c r="A67" s="308">
        <f t="shared" si="12"/>
        <v>2041</v>
      </c>
      <c r="B67" s="491" t="s">
        <v>52</v>
      </c>
      <c r="C67" s="491"/>
      <c r="D67" s="491"/>
      <c r="E67" s="3">
        <f>'VOT growth'!F41*$E$43</f>
        <v>25.55602425256361</v>
      </c>
      <c r="F67" s="3">
        <f>'VOT growth'!G41*$F$43</f>
        <v>19.849152731775721</v>
      </c>
      <c r="G67" s="3">
        <f>'VOT growth'!H41*$G$43</f>
        <v>25.123859103835176</v>
      </c>
      <c r="H67" s="3">
        <f>'VOT growth'!I41*$H$43</f>
        <v>20.515446258284928</v>
      </c>
      <c r="I67" s="308" t="str">
        <f t="shared" si="13"/>
        <v/>
      </c>
      <c r="J67" s="21">
        <f t="shared" si="14"/>
        <v>2043</v>
      </c>
      <c r="K67" s="338" t="str">
        <f>IF(J67='Vehicle and Delay Conversion'!$D$37,'Vehicle and Delay Conversion'!$D$38,"")</f>
        <v/>
      </c>
      <c r="L67" s="337">
        <f>IF(K67="",IF(MAX(K68:K$94)&gt;0,K$44+(MAX(K$45:K$100)-K$44)*($J67-$J$44)/(MAX($I$45:$I$100)-$J$44),L66),K67)</f>
        <v>31315.159038755839</v>
      </c>
      <c r="M67" s="273">
        <f t="shared" si="4"/>
        <v>827053.2440053703</v>
      </c>
      <c r="N67" s="338" t="str">
        <f>IF($J67='Vehicle and Delay Conversion'!$D$37,'Vehicle and Delay Conversion'!$D$39,"")</f>
        <v/>
      </c>
      <c r="O67" s="337">
        <f>IF(N67="",IF(MAX(N68:N$94)&gt;0,N$44+(MAX(N$45:N$100)-N$44)*($J67-$J$44)/(MAX($I$45:$I$100)-$J$44),O66),N67)</f>
        <v>0</v>
      </c>
      <c r="P67" s="273">
        <f t="shared" si="5"/>
        <v>0</v>
      </c>
      <c r="Q67" s="338" t="str">
        <f>IF($J67='Vehicle and Delay Conversion'!$D$37,'Vehicle and Delay Conversion'!$D$40,"")</f>
        <v/>
      </c>
      <c r="R67" s="337">
        <f>IF(Q67="",IF(MAX(Q68:Q$94)&gt;0,Q$44+(MAX(Q$45:Q$100)-Q$44)*($J67-$J$44)/(MAX($I$45:$I$100)-$J$44),R66),Q67)</f>
        <v>5394.9639566473761</v>
      </c>
      <c r="S67" s="273">
        <f t="shared" si="6"/>
        <v>140074.94251118196</v>
      </c>
      <c r="T67" s="338" t="str">
        <f>IF($J67='Vehicle and Delay Conversion'!$D$37,'Vehicle and Delay Conversion'!$D$41,"")</f>
        <v/>
      </c>
      <c r="U67" s="337">
        <f>IF(T67="",IF(MAX(T68:T$94)&gt;0,T$44+(MAX(T$45:T$100)-T$44)*($J67-$J$44)/(MAX($I$45:$I$100)-$J$44),U66),T67)</f>
        <v>0</v>
      </c>
      <c r="V67" s="273">
        <f t="shared" si="7"/>
        <v>0</v>
      </c>
      <c r="W67" s="339">
        <f t="shared" si="15"/>
        <v>0.32134271362974326</v>
      </c>
      <c r="X67" s="275">
        <f t="shared" si="8"/>
        <v>265767.53374496789</v>
      </c>
      <c r="Y67" s="275">
        <f t="shared" si="9"/>
        <v>0</v>
      </c>
      <c r="Z67" s="275">
        <f t="shared" si="10"/>
        <v>45012.062138073496</v>
      </c>
      <c r="AA67" s="275">
        <f t="shared" si="11"/>
        <v>0</v>
      </c>
      <c r="AB67" s="308">
        <f t="shared" si="16"/>
        <v>24</v>
      </c>
    </row>
    <row r="68" spans="1:28" x14ac:dyDescent="0.25">
      <c r="A68" s="308">
        <f t="shared" si="12"/>
        <v>2042</v>
      </c>
      <c r="B68" s="491" t="s">
        <v>51</v>
      </c>
      <c r="C68" s="491"/>
      <c r="D68" s="491"/>
      <c r="E68" s="3">
        <f>'VOT growth'!F42*$E$43</f>
        <v>25.983329764646726</v>
      </c>
      <c r="F68" s="3">
        <f>'VOT growth'!G42*$F$43</f>
        <v>20.181037389915243</v>
      </c>
      <c r="G68" s="3">
        <f>'VOT growth'!H42*$G$43</f>
        <v>25.543938666046088</v>
      </c>
      <c r="H68" s="3">
        <f>'VOT growth'!I42*$H$43</f>
        <v>20.858471573270329</v>
      </c>
      <c r="I68" s="308" t="str">
        <f t="shared" si="13"/>
        <v/>
      </c>
      <c r="J68" s="21">
        <f t="shared" si="14"/>
        <v>2044</v>
      </c>
      <c r="K68" s="338" t="str">
        <f>IF(J68='Vehicle and Delay Conversion'!$D$37,'Vehicle and Delay Conversion'!$D$38,"")</f>
        <v/>
      </c>
      <c r="L68" s="337">
        <f>IF(K68="",IF(MAX(K69:K$94)&gt;0,K$44+(MAX(K$45:K$100)-K$44)*($J68-$J$44)/(MAX($I$45:$I$100)-$J$44),L67),K68)</f>
        <v>31315.159038755839</v>
      </c>
      <c r="M68" s="273">
        <f t="shared" si="4"/>
        <v>840434.38407439005</v>
      </c>
      <c r="N68" s="338" t="str">
        <f>IF($J68='Vehicle and Delay Conversion'!$D$37,'Vehicle and Delay Conversion'!$D$39,"")</f>
        <v/>
      </c>
      <c r="O68" s="337">
        <f>IF(N68="",IF(MAX(N69:N$94)&gt;0,N$44+(MAX(N$45:N$100)-N$44)*($J68-$J$44)/(MAX($I$45:$I$100)-$J$44),O67),N68)</f>
        <v>0</v>
      </c>
      <c r="P68" s="273">
        <f t="shared" si="5"/>
        <v>0</v>
      </c>
      <c r="Q68" s="338" t="str">
        <f>IF($J68='Vehicle and Delay Conversion'!$D$37,'Vehicle and Delay Conversion'!$D$40,"")</f>
        <v/>
      </c>
      <c r="R68" s="337">
        <f>IF(Q68="",IF(MAX(Q69:Q$94)&gt;0,Q$44+(MAX(Q$45:Q$100)-Q$44)*($J68-$J$44)/(MAX($I$45:$I$100)-$J$44),R67),Q68)</f>
        <v>5394.9639566473761</v>
      </c>
      <c r="S68" s="273">
        <f t="shared" si="6"/>
        <v>142341.25660823405</v>
      </c>
      <c r="T68" s="338" t="str">
        <f>IF($J68='Vehicle and Delay Conversion'!$D$37,'Vehicle and Delay Conversion'!$D$41,"")</f>
        <v/>
      </c>
      <c r="U68" s="337">
        <f>IF(T68="",IF(MAX(T69:T$94)&gt;0,T$44+(MAX(T$45:T$100)-T$44)*($J68-$J$44)/(MAX($I$45:$I$100)-$J$44),U67),T68)</f>
        <v>0</v>
      </c>
      <c r="V68" s="273">
        <f t="shared" si="7"/>
        <v>0</v>
      </c>
      <c r="W68" s="339">
        <f t="shared" si="15"/>
        <v>0.3104760518161771</v>
      </c>
      <c r="X68" s="275">
        <f t="shared" si="8"/>
        <v>260934.74937797722</v>
      </c>
      <c r="Y68" s="275">
        <f t="shared" si="9"/>
        <v>0</v>
      </c>
      <c r="Z68" s="275">
        <f t="shared" si="10"/>
        <v>44193.551362277838</v>
      </c>
      <c r="AA68" s="275">
        <f t="shared" si="11"/>
        <v>0</v>
      </c>
      <c r="AB68" s="308">
        <f t="shared" si="16"/>
        <v>25</v>
      </c>
    </row>
    <row r="69" spans="1:28" x14ac:dyDescent="0.25">
      <c r="A69" s="308">
        <f t="shared" si="12"/>
        <v>2043</v>
      </c>
      <c r="B69" s="491" t="s">
        <v>50</v>
      </c>
      <c r="C69" s="491"/>
      <c r="D69" s="491"/>
      <c r="E69" s="3">
        <f>'VOT growth'!F43*$E$43</f>
        <v>26.410635276729842</v>
      </c>
      <c r="F69" s="3">
        <f>'VOT growth'!G43*$F$43</f>
        <v>20.512922048054765</v>
      </c>
      <c r="G69" s="3">
        <f>'VOT growth'!H43*$G$43</f>
        <v>25.964018228256997</v>
      </c>
      <c r="H69" s="3">
        <f>'VOT growth'!I43*$H$43</f>
        <v>21.201496888255726</v>
      </c>
      <c r="I69" s="308" t="str">
        <f t="shared" si="13"/>
        <v/>
      </c>
      <c r="J69" s="21">
        <f t="shared" si="14"/>
        <v>2045</v>
      </c>
      <c r="K69" s="338" t="str">
        <f>IF(J69='Vehicle and Delay Conversion'!$D$37,'Vehicle and Delay Conversion'!$D$38,"")</f>
        <v/>
      </c>
      <c r="L69" s="337">
        <f>IF(K69="",IF(MAX(K70:K$94)&gt;0,K$44+(MAX(K$45:K$100)-K$44)*($J69-$J$44)/(MAX($I$45:$I$100)-$J$44),L68),K69)</f>
        <v>31315.159038755839</v>
      </c>
      <c r="M69" s="273">
        <f t="shared" si="4"/>
        <v>853815.52414340992</v>
      </c>
      <c r="N69" s="338" t="str">
        <f>IF($J69='Vehicle and Delay Conversion'!$D$37,'Vehicle and Delay Conversion'!$D$39,"")</f>
        <v/>
      </c>
      <c r="O69" s="337">
        <f>IF(N69="",IF(MAX(N70:N$94)&gt;0,N$44+(MAX(N$45:N$100)-N$44)*($J69-$J$44)/(MAX($I$45:$I$100)-$J$44),O68),N69)</f>
        <v>0</v>
      </c>
      <c r="P69" s="273">
        <f t="shared" si="5"/>
        <v>0</v>
      </c>
      <c r="Q69" s="338" t="str">
        <f>IF($J69='Vehicle and Delay Conversion'!$D$37,'Vehicle and Delay Conversion'!$D$40,"")</f>
        <v/>
      </c>
      <c r="R69" s="337">
        <f>IF(Q69="",IF(MAX(Q70:Q$94)&gt;0,Q$44+(MAX(Q$45:Q$100)-Q$44)*($J69-$J$44)/(MAX($I$45:$I$100)-$J$44),R68),Q69)</f>
        <v>5394.9639566473761</v>
      </c>
      <c r="S69" s="273">
        <f t="shared" si="6"/>
        <v>144607.57070528611</v>
      </c>
      <c r="T69" s="338" t="str">
        <f>IF($J69='Vehicle and Delay Conversion'!$D$37,'Vehicle and Delay Conversion'!$D$41,"")</f>
        <v/>
      </c>
      <c r="U69" s="337">
        <f>IF(T69="",IF(MAX(T70:T$94)&gt;0,T$44+(MAX(T$45:T$100)-T$44)*($J69-$J$44)/(MAX($I$45:$I$100)-$J$44),U68),T69)</f>
        <v>0</v>
      </c>
      <c r="V69" s="273">
        <f t="shared" si="7"/>
        <v>0</v>
      </c>
      <c r="W69" s="339">
        <f t="shared" si="15"/>
        <v>0.29997686165814214</v>
      </c>
      <c r="X69" s="275">
        <f t="shared" si="8"/>
        <v>256124.90136754178</v>
      </c>
      <c r="Y69" s="275">
        <f t="shared" si="9"/>
        <v>0</v>
      </c>
      <c r="Z69" s="275">
        <f t="shared" si="10"/>
        <v>43378.925232179616</v>
      </c>
      <c r="AA69" s="275">
        <f t="shared" si="11"/>
        <v>0</v>
      </c>
      <c r="AB69" s="308">
        <f t="shared" si="16"/>
        <v>26</v>
      </c>
    </row>
    <row r="70" spans="1:28" x14ac:dyDescent="0.25">
      <c r="A70" s="308">
        <f t="shared" si="12"/>
        <v>2044</v>
      </c>
      <c r="B70" s="491" t="s">
        <v>49</v>
      </c>
      <c r="C70" s="491"/>
      <c r="D70" s="491"/>
      <c r="E70" s="3">
        <f>'VOT growth'!F44*$E$43</f>
        <v>26.837940788812958</v>
      </c>
      <c r="F70" s="3">
        <f>'VOT growth'!G44*$F$43</f>
        <v>20.844806706194287</v>
      </c>
      <c r="G70" s="3">
        <f>'VOT growth'!H44*$G$43</f>
        <v>26.384097790467909</v>
      </c>
      <c r="H70" s="3">
        <f>'VOT growth'!I44*$H$43</f>
        <v>21.544522203241122</v>
      </c>
      <c r="I70" s="308" t="str">
        <f t="shared" si="13"/>
        <v/>
      </c>
      <c r="J70" s="21">
        <f t="shared" si="14"/>
        <v>2046</v>
      </c>
      <c r="K70" s="338" t="str">
        <f>IF(J70='Vehicle and Delay Conversion'!$D$37,'Vehicle and Delay Conversion'!$D$38,"")</f>
        <v/>
      </c>
      <c r="L70" s="337">
        <f>IF(K70="",IF(MAX(K71:K$94)&gt;0,K$44+(MAX(K$45:K$100)-K$44)*($J70-$J$44)/(MAX($I$45:$I$100)-$J$44),L69),K70)</f>
        <v>31315.159038755839</v>
      </c>
      <c r="M70" s="273">
        <f t="shared" si="4"/>
        <v>867625.18107103289</v>
      </c>
      <c r="N70" s="338" t="str">
        <f>IF($J70='Vehicle and Delay Conversion'!$D$37,'Vehicle and Delay Conversion'!$D$39,"")</f>
        <v/>
      </c>
      <c r="O70" s="337">
        <f>IF(N70="",IF(MAX(N71:N$94)&gt;0,N$44+(MAX(N$45:N$100)-N$44)*($J70-$J$44)/(MAX($I$45:$I$100)-$J$44),O69),N70)</f>
        <v>0</v>
      </c>
      <c r="P70" s="273">
        <f t="shared" si="5"/>
        <v>0</v>
      </c>
      <c r="Q70" s="338" t="str">
        <f>IF($J70='Vehicle and Delay Conversion'!$D$37,'Vehicle and Delay Conversion'!$D$40,"")</f>
        <v/>
      </c>
      <c r="R70" s="337">
        <f>IF(Q70="",IF(MAX(Q71:Q$94)&gt;0,Q$44+(MAX(Q$45:Q$100)-Q$44)*($J70-$J$44)/(MAX($I$45:$I$100)-$J$44),R69),Q70)</f>
        <v>5394.9639566473761</v>
      </c>
      <c r="S70" s="273">
        <f t="shared" si="6"/>
        <v>146946.46111440632</v>
      </c>
      <c r="T70" s="338" t="str">
        <f>IF($J70='Vehicle and Delay Conversion'!$D$37,'Vehicle and Delay Conversion'!$D$41,"")</f>
        <v/>
      </c>
      <c r="U70" s="337">
        <f>IF(T70="",IF(MAX(T71:T$94)&gt;0,T$44+(MAX(T$45:T$100)-T$44)*($J70-$J$44)/(MAX($I$45:$I$100)-$J$44),U69),T70)</f>
        <v>0</v>
      </c>
      <c r="V70" s="273">
        <f t="shared" si="7"/>
        <v>0</v>
      </c>
      <c r="W70" s="339">
        <f t="shared" si="15"/>
        <v>0.28983271657791515</v>
      </c>
      <c r="X70" s="275">
        <f t="shared" si="8"/>
        <v>251466.16320122298</v>
      </c>
      <c r="Y70" s="275">
        <f t="shared" si="9"/>
        <v>0</v>
      </c>
      <c r="Z70" s="275">
        <f t="shared" si="10"/>
        <v>42589.89201629936</v>
      </c>
      <c r="AA70" s="275">
        <f t="shared" si="11"/>
        <v>0</v>
      </c>
      <c r="AB70" s="308">
        <f t="shared" si="16"/>
        <v>27</v>
      </c>
    </row>
    <row r="71" spans="1:28" x14ac:dyDescent="0.25">
      <c r="A71" s="308">
        <f t="shared" si="12"/>
        <v>2045</v>
      </c>
      <c r="B71" s="491" t="s">
        <v>48</v>
      </c>
      <c r="C71" s="491"/>
      <c r="D71" s="491"/>
      <c r="E71" s="3">
        <f>'VOT growth'!F45*$E$43</f>
        <v>27.265246300896074</v>
      </c>
      <c r="F71" s="3">
        <f>'VOT growth'!G45*$F$43</f>
        <v>21.176691364333806</v>
      </c>
      <c r="G71" s="3">
        <f>'VOT growth'!H45*$G$43</f>
        <v>26.804177352678821</v>
      </c>
      <c r="H71" s="3">
        <f>'VOT growth'!I45*$H$43</f>
        <v>21.887547518226519</v>
      </c>
      <c r="I71" s="308" t="str">
        <f t="shared" si="13"/>
        <v/>
      </c>
      <c r="J71" s="21">
        <f t="shared" si="14"/>
        <v>2047</v>
      </c>
      <c r="K71" s="338" t="str">
        <f>IF(J71='Vehicle and Delay Conversion'!$D$37,'Vehicle and Delay Conversion'!$D$38,"")</f>
        <v/>
      </c>
      <c r="L71" s="337">
        <f>IF(K71="",IF(MAX(K72:K$94)&gt;0,K$44+(MAX(K$45:K$100)-K$44)*($J71-$J$44)/(MAX($I$45:$I$100)-$J$44),L70),K71)</f>
        <v>31315.159038755839</v>
      </c>
      <c r="M71" s="273">
        <f t="shared" si="4"/>
        <v>881122.13345575414</v>
      </c>
      <c r="N71" s="338" t="str">
        <f>IF($J71='Vehicle and Delay Conversion'!$D$37,'Vehicle and Delay Conversion'!$D$39,"")</f>
        <v/>
      </c>
      <c r="O71" s="337">
        <f>IF(N71="",IF(MAX(N72:N$94)&gt;0,N$44+(MAX(N$45:N$100)-N$44)*($J71-$J$44)/(MAX($I$45:$I$100)-$J$44),O70),N71)</f>
        <v>0</v>
      </c>
      <c r="P71" s="273">
        <f t="shared" si="5"/>
        <v>0</v>
      </c>
      <c r="Q71" s="338" t="str">
        <f>IF($J71='Vehicle and Delay Conversion'!$D$37,'Vehicle and Delay Conversion'!$D$40,"")</f>
        <v/>
      </c>
      <c r="R71" s="337">
        <f>IF(Q71="",IF(MAX(Q72:Q$94)&gt;0,Q$44+(MAX(Q$45:Q$100)-Q$44)*($J71-$J$44)/(MAX($I$45:$I$100)-$J$44),R70),Q71)</f>
        <v>5394.9639566473761</v>
      </c>
      <c r="S71" s="273">
        <f t="shared" si="6"/>
        <v>149232.38991411697</v>
      </c>
      <c r="T71" s="338" t="str">
        <f>IF($J71='Vehicle and Delay Conversion'!$D$37,'Vehicle and Delay Conversion'!$D$41,"")</f>
        <v/>
      </c>
      <c r="U71" s="337">
        <f>IF(T71="",IF(MAX(T72:T$94)&gt;0,T$44+(MAX(T$45:T$100)-T$44)*($J71-$J$44)/(MAX($I$45:$I$100)-$J$44),U70),T71)</f>
        <v>0</v>
      </c>
      <c r="V71" s="273">
        <f t="shared" si="7"/>
        <v>0</v>
      </c>
      <c r="W71" s="339">
        <f t="shared" si="15"/>
        <v>0.28003161022020789</v>
      </c>
      <c r="X71" s="275">
        <f t="shared" si="8"/>
        <v>246742.04983227974</v>
      </c>
      <c r="Y71" s="275">
        <f t="shared" si="9"/>
        <v>0</v>
      </c>
      <c r="Z71" s="275">
        <f t="shared" si="10"/>
        <v>41789.786444660087</v>
      </c>
      <c r="AA71" s="275">
        <f t="shared" si="11"/>
        <v>0</v>
      </c>
      <c r="AB71" s="308">
        <f t="shared" si="16"/>
        <v>28</v>
      </c>
    </row>
    <row r="72" spans="1:28" x14ac:dyDescent="0.25">
      <c r="A72" s="308">
        <f t="shared" si="12"/>
        <v>2046</v>
      </c>
      <c r="B72" s="491" t="s">
        <v>47</v>
      </c>
      <c r="C72" s="491"/>
      <c r="D72" s="491"/>
      <c r="E72" s="3">
        <f>'VOT growth'!F46*$E$43</f>
        <v>27.706235820078525</v>
      </c>
      <c r="F72" s="3">
        <f>'VOT growth'!G46*$F$43</f>
        <v>21.519204277643734</v>
      </c>
      <c r="G72" s="3">
        <f>'VOT growth'!H46*$G$43</f>
        <v>27.237709518586684</v>
      </c>
      <c r="H72" s="3">
        <f>'VOT growth'!I46*$H$43</f>
        <v>22.241557856135277</v>
      </c>
      <c r="I72" s="308" t="str">
        <f t="shared" si="13"/>
        <v/>
      </c>
      <c r="J72" s="21">
        <f t="shared" si="14"/>
        <v>2048</v>
      </c>
      <c r="K72" s="338" t="str">
        <f>IF(J72='Vehicle and Delay Conversion'!$D$37,'Vehicle and Delay Conversion'!$D$38,"")</f>
        <v/>
      </c>
      <c r="L72" s="337">
        <f>IF(K72="",IF(MAX(K73:K$94)&gt;0,K$44+(MAX(K$45:K$100)-K$44)*($J72-$J$44)/(MAX($I$45:$I$100)-$J$44),L71),K72)</f>
        <v>31315.159038755839</v>
      </c>
      <c r="M72" s="273">
        <f t="shared" si="4"/>
        <v>894619.08584047551</v>
      </c>
      <c r="N72" s="338" t="str">
        <f>IF($J72='Vehicle and Delay Conversion'!$D$37,'Vehicle and Delay Conversion'!$D$39,"")</f>
        <v/>
      </c>
      <c r="O72" s="337">
        <f>IF(N72="",IF(MAX(N73:N$94)&gt;0,N$44+(MAX(N$45:N$100)-N$44)*($J72-$J$44)/(MAX($I$45:$I$100)-$J$44),O71),N72)</f>
        <v>0</v>
      </c>
      <c r="P72" s="273">
        <f t="shared" si="5"/>
        <v>0</v>
      </c>
      <c r="Q72" s="338" t="str">
        <f>IF($J72='Vehicle and Delay Conversion'!$D$37,'Vehicle and Delay Conversion'!$D$40,"")</f>
        <v/>
      </c>
      <c r="R72" s="337">
        <f>IF(Q72="",IF(MAX(Q73:Q$94)&gt;0,Q$44+(MAX(Q$45:Q$100)-Q$44)*($J72-$J$44)/(MAX($I$45:$I$100)-$J$44),R71),Q72)</f>
        <v>5394.9639566473761</v>
      </c>
      <c r="S72" s="273">
        <f t="shared" si="6"/>
        <v>151518.31871382761</v>
      </c>
      <c r="T72" s="338" t="str">
        <f>IF($J72='Vehicle and Delay Conversion'!$D$37,'Vehicle and Delay Conversion'!$D$41,"")</f>
        <v/>
      </c>
      <c r="U72" s="337">
        <f>IF(T72="",IF(MAX(T73:T$94)&gt;0,T$44+(MAX(T$45:T$100)-T$44)*($J72-$J$44)/(MAX($I$45:$I$100)-$J$44),U71),T72)</f>
        <v>0</v>
      </c>
      <c r="V72" s="273">
        <f t="shared" si="7"/>
        <v>0</v>
      </c>
      <c r="W72" s="339">
        <f t="shared" si="15"/>
        <v>0.27056194224174679</v>
      </c>
      <c r="X72" s="275">
        <f t="shared" si="8"/>
        <v>242049.87743153505</v>
      </c>
      <c r="Y72" s="275">
        <f t="shared" si="9"/>
        <v>0</v>
      </c>
      <c r="Z72" s="275">
        <f t="shared" si="10"/>
        <v>40995.090596417205</v>
      </c>
      <c r="AA72" s="275">
        <f t="shared" si="11"/>
        <v>0</v>
      </c>
      <c r="AB72" s="308">
        <f t="shared" si="16"/>
        <v>29</v>
      </c>
    </row>
    <row r="73" spans="1:28" x14ac:dyDescent="0.25">
      <c r="A73" s="308">
        <f t="shared" si="12"/>
        <v>2047</v>
      </c>
      <c r="B73" s="491" t="s">
        <v>46</v>
      </c>
      <c r="C73" s="491"/>
      <c r="D73" s="491"/>
      <c r="E73" s="3">
        <f>'VOT growth'!F47*$E$43</f>
        <v>28.137239615014305</v>
      </c>
      <c r="F73" s="3">
        <f>'VOT growth'!G47*$F$43</f>
        <v>21.853961361496363</v>
      </c>
      <c r="G73" s="3">
        <f>'VOT growth'!H47*$G$43</f>
        <v>27.661424823837994</v>
      </c>
      <c r="H73" s="3">
        <f>'VOT growth'!I47*$H$43</f>
        <v>22.587552018010236</v>
      </c>
      <c r="I73" s="308" t="str">
        <f t="shared" si="13"/>
        <v/>
      </c>
      <c r="J73" s="21">
        <f t="shared" si="14"/>
        <v>2049</v>
      </c>
      <c r="K73" s="338" t="str">
        <f>IF(J73='Vehicle and Delay Conversion'!$D$37,'Vehicle and Delay Conversion'!$D$38,"")</f>
        <v/>
      </c>
      <c r="L73" s="337">
        <f>IF(K73="",IF(MAX(K74:K$94)&gt;0,K$44+(MAX(K$45:K$100)-K$44)*($J73-$J$44)/(MAX($I$45:$I$100)-$J$44),L72),K73)</f>
        <v>31315.159038755839</v>
      </c>
      <c r="M73" s="273">
        <f t="shared" si="4"/>
        <v>908116.03822519677</v>
      </c>
      <c r="N73" s="338" t="str">
        <f>IF($J73='Vehicle and Delay Conversion'!$D$37,'Vehicle and Delay Conversion'!$D$39,"")</f>
        <v/>
      </c>
      <c r="O73" s="337">
        <f>IF(N73="",IF(MAX(N74:N$94)&gt;0,N$44+(MAX(N$45:N$100)-N$44)*($J73-$J$44)/(MAX($I$45:$I$100)-$J$44),O72),N73)</f>
        <v>0</v>
      </c>
      <c r="P73" s="273">
        <f t="shared" si="5"/>
        <v>0</v>
      </c>
      <c r="Q73" s="338" t="str">
        <f>IF($J73='Vehicle and Delay Conversion'!$D$37,'Vehicle and Delay Conversion'!$D$40,"")</f>
        <v/>
      </c>
      <c r="R73" s="337">
        <f>IF(Q73="",IF(MAX(Q74:Q$94)&gt;0,Q$44+(MAX(Q$45:Q$100)-Q$44)*($J73-$J$44)/(MAX($I$45:$I$100)-$J$44),R72),Q73)</f>
        <v>5394.9639566473761</v>
      </c>
      <c r="S73" s="273">
        <f t="shared" si="6"/>
        <v>153804.24751353826</v>
      </c>
      <c r="T73" s="338" t="str">
        <f>IF($J73='Vehicle and Delay Conversion'!$D$37,'Vehicle and Delay Conversion'!$D$41,"")</f>
        <v/>
      </c>
      <c r="U73" s="337">
        <f>IF(T73="",IF(MAX(T74:T$94)&gt;0,T$44+(MAX(T$45:T$100)-T$44)*($J73-$J$44)/(MAX($I$45:$I$100)-$J$44),U72),T73)</f>
        <v>0</v>
      </c>
      <c r="V73" s="273">
        <f t="shared" si="7"/>
        <v>0</v>
      </c>
      <c r="W73" s="339">
        <f t="shared" si="15"/>
        <v>0.26141250458139786</v>
      </c>
      <c r="X73" s="275">
        <f t="shared" si="8"/>
        <v>237392.88800298513</v>
      </c>
      <c r="Y73" s="275">
        <f t="shared" si="9"/>
        <v>0</v>
      </c>
      <c r="Z73" s="275">
        <f t="shared" si="10"/>
        <v>40206.353557771268</v>
      </c>
      <c r="AA73" s="275">
        <f t="shared" si="11"/>
        <v>0</v>
      </c>
      <c r="AB73" s="308">
        <f t="shared" si="16"/>
        <v>30</v>
      </c>
    </row>
    <row r="74" spans="1:28" x14ac:dyDescent="0.25">
      <c r="A74" s="308">
        <f t="shared" si="12"/>
        <v>2048</v>
      </c>
      <c r="B74" s="491" t="s">
        <v>45</v>
      </c>
      <c r="C74" s="491"/>
      <c r="D74" s="491"/>
      <c r="E74" s="3">
        <f>'VOT growth'!F48*$E$43</f>
        <v>28.568243409950089</v>
      </c>
      <c r="F74" s="3">
        <f>'VOT growth'!G48*$F$43</f>
        <v>22.188718445348993</v>
      </c>
      <c r="G74" s="3">
        <f>'VOT growth'!H48*$G$43</f>
        <v>28.0851401290893</v>
      </c>
      <c r="H74" s="3">
        <f>'VOT growth'!I48*$H$43</f>
        <v>22.933546179885195</v>
      </c>
      <c r="I74" s="308" t="str">
        <f t="shared" si="13"/>
        <v/>
      </c>
      <c r="J74" s="21">
        <f t="shared" si="14"/>
        <v>2050</v>
      </c>
      <c r="K74" s="338" t="str">
        <f>IF(J74='Vehicle and Delay Conversion'!$D$37,'Vehicle and Delay Conversion'!$D$38,"")</f>
        <v/>
      </c>
      <c r="L74" s="337">
        <f>IF(K74="",IF(MAX(K75:K$94)&gt;0,K$44+(MAX(K$45:K$100)-K$44)*($J74-$J$44)/(MAX($I$45:$I$100)-$J$44),L73),K74)</f>
        <v>31315.159038755839</v>
      </c>
      <c r="M74" s="273">
        <f t="shared" si="4"/>
        <v>921612.99060991802</v>
      </c>
      <c r="N74" s="338" t="str">
        <f>IF($J74='Vehicle and Delay Conversion'!$D$37,'Vehicle and Delay Conversion'!$D$39,"")</f>
        <v/>
      </c>
      <c r="O74" s="337">
        <f>IF(N74="",IF(MAX(N75:N$94)&gt;0,N$44+(MAX(N$45:N$100)-N$44)*($J74-$J$44)/(MAX($I$45:$I$100)-$J$44),O73),N74)</f>
        <v>0</v>
      </c>
      <c r="P74" s="273">
        <f t="shared" si="5"/>
        <v>0</v>
      </c>
      <c r="Q74" s="338" t="str">
        <f>IF($J74='Vehicle and Delay Conversion'!$D$37,'Vehicle and Delay Conversion'!$D$40,"")</f>
        <v/>
      </c>
      <c r="R74" s="337">
        <f>IF(Q74="",IF(MAX(Q75:Q$94)&gt;0,Q$44+(MAX(Q$45:Q$100)-Q$44)*($J74-$J$44)/(MAX($I$45:$I$100)-$J$44),R73),Q74)</f>
        <v>5394.9639566473761</v>
      </c>
      <c r="S74" s="273">
        <f t="shared" si="6"/>
        <v>156090.17631324893</v>
      </c>
      <c r="T74" s="338" t="str">
        <f>IF($J74='Vehicle and Delay Conversion'!$D$37,'Vehicle and Delay Conversion'!$D$41,"")</f>
        <v/>
      </c>
      <c r="U74" s="337">
        <f>IF(T74="",IF(MAX(T75:T$94)&gt;0,T$44+(MAX(T$45:T$100)-T$44)*($J74-$J$44)/(MAX($I$45:$I$100)-$J$44),U73),T74)</f>
        <v>0</v>
      </c>
      <c r="V74" s="273">
        <f t="shared" si="7"/>
        <v>0</v>
      </c>
      <c r="W74" s="339">
        <f>W73/(1+0.03)</f>
        <v>0.25379854813727948</v>
      </c>
      <c r="X74" s="275">
        <f t="shared" si="8"/>
        <v>233904.03896125339</v>
      </c>
      <c r="Y74" s="275">
        <f t="shared" si="9"/>
        <v>0</v>
      </c>
      <c r="Z74" s="275">
        <f t="shared" si="10"/>
        <v>39615.460126794547</v>
      </c>
      <c r="AA74" s="275">
        <f t="shared" si="11"/>
        <v>0</v>
      </c>
      <c r="AB74" s="308">
        <f t="shared" si="16"/>
        <v>31</v>
      </c>
    </row>
    <row r="75" spans="1:28" x14ac:dyDescent="0.25">
      <c r="A75" s="308">
        <f t="shared" si="12"/>
        <v>2049</v>
      </c>
      <c r="B75" s="491" t="s">
        <v>44</v>
      </c>
      <c r="C75" s="491"/>
      <c r="D75" s="491"/>
      <c r="E75" s="3">
        <f>'VOT growth'!F49*$E$43</f>
        <v>28.999247204885869</v>
      </c>
      <c r="F75" s="3">
        <f>'VOT growth'!G49*$F$43</f>
        <v>22.523475529201622</v>
      </c>
      <c r="G75" s="3">
        <f>'VOT growth'!H49*$G$43</f>
        <v>28.50885543434061</v>
      </c>
      <c r="H75" s="3">
        <f>'VOT growth'!I49*$H$43</f>
        <v>23.279540341760157</v>
      </c>
      <c r="I75" s="308" t="str">
        <f t="shared" si="13"/>
        <v/>
      </c>
      <c r="J75" s="21">
        <f t="shared" si="14"/>
        <v>2051</v>
      </c>
      <c r="K75" s="338" t="str">
        <f>IF(J75='Vehicle and Delay Conversion'!$D$37,'Vehicle and Delay Conversion'!$D$38,"")</f>
        <v/>
      </c>
      <c r="L75" s="337">
        <f>IF(K75="",IF(MAX(K76:K$94)&gt;0,K$44+(MAX(K$45:K$100)-K$44)*($J75-$J$44)/(MAX($I$45:$I$100)-$J$44),L74),K75)</f>
        <v>31315.159038755839</v>
      </c>
      <c r="M75" s="273">
        <f t="shared" si="4"/>
        <v>934681.31314841111</v>
      </c>
      <c r="N75" s="338" t="str">
        <f>IF($J75='Vehicle and Delay Conversion'!$D$37,'Vehicle and Delay Conversion'!$D$39,"")</f>
        <v/>
      </c>
      <c r="O75" s="337">
        <f>IF(N75="",IF(MAX(N76:N$94)&gt;0,N$44+(MAX(N$45:N$100)-N$44)*($J75-$J$44)/(MAX($I$45:$I$100)-$J$44),O74),N75)</f>
        <v>0</v>
      </c>
      <c r="P75" s="273">
        <f t="shared" si="5"/>
        <v>0</v>
      </c>
      <c r="Q75" s="338" t="str">
        <f>IF($J75='Vehicle and Delay Conversion'!$D$37,'Vehicle and Delay Conversion'!$D$40,"")</f>
        <v/>
      </c>
      <c r="R75" s="337">
        <f>IF(Q75="",IF(MAX(Q76:Q$94)&gt;0,Q$44+(MAX(Q$45:Q$100)-Q$44)*($J75-$J$44)/(MAX($I$45:$I$100)-$J$44),R74),Q75)</f>
        <v>5394.9639566473761</v>
      </c>
      <c r="S75" s="273">
        <f t="shared" si="6"/>
        <v>158303.50966459615</v>
      </c>
      <c r="T75" s="338" t="str">
        <f>IF($J75='Vehicle and Delay Conversion'!$D$37,'Vehicle and Delay Conversion'!$D$41,"")</f>
        <v/>
      </c>
      <c r="U75" s="337">
        <f>IF(T75="",IF(MAX(T76:T$94)&gt;0,T$44+(MAX(T$45:T$100)-T$44)*($J75-$J$44)/(MAX($I$45:$I$100)-$J$44),U74),T75)</f>
        <v>0</v>
      </c>
      <c r="V75" s="273">
        <f t="shared" si="7"/>
        <v>0</v>
      </c>
      <c r="W75" s="339">
        <f t="shared" ref="W75:W100" si="17">W74/(1+0.03)</f>
        <v>0.24640635741483444</v>
      </c>
      <c r="X75" s="275">
        <f t="shared" si="8"/>
        <v>230311.41771661417</v>
      </c>
      <c r="Y75" s="275">
        <f t="shared" si="9"/>
        <v>0</v>
      </c>
      <c r="Z75" s="275">
        <f t="shared" si="10"/>
        <v>39006.991182437174</v>
      </c>
      <c r="AA75" s="275">
        <f t="shared" si="11"/>
        <v>0</v>
      </c>
      <c r="AB75" s="308">
        <f t="shared" si="16"/>
        <v>32</v>
      </c>
    </row>
    <row r="76" spans="1:28" x14ac:dyDescent="0.25">
      <c r="A76" s="308">
        <f t="shared" si="12"/>
        <v>2050</v>
      </c>
      <c r="B76" s="491" t="s">
        <v>43</v>
      </c>
      <c r="C76" s="491"/>
      <c r="D76" s="491"/>
      <c r="E76" s="3">
        <f>'VOT growth'!F50*$E$43</f>
        <v>29.430250999821652</v>
      </c>
      <c r="F76" s="3">
        <f>'VOT growth'!G50*$F$43</f>
        <v>22.858232613054252</v>
      </c>
      <c r="G76" s="3">
        <f>'VOT growth'!H50*$G$43</f>
        <v>28.93257073959192</v>
      </c>
      <c r="H76" s="3">
        <f>'VOT growth'!I50*$H$43</f>
        <v>23.625534503635116</v>
      </c>
      <c r="I76" s="308" t="str">
        <f t="shared" si="13"/>
        <v/>
      </c>
      <c r="J76" s="21">
        <f t="shared" si="14"/>
        <v>2052</v>
      </c>
      <c r="K76" s="338" t="str">
        <f>IF(J76='Vehicle and Delay Conversion'!$D$37,'Vehicle and Delay Conversion'!$D$38,"")</f>
        <v/>
      </c>
      <c r="L76" s="337">
        <f>IF(K76="",IF(MAX(K77:K$94)&gt;0,K$44+(MAX(K$45:K$100)-K$44)*($J76-$J$44)/(MAX($I$45:$I$100)-$J$44),L75),K76)</f>
        <v>31315.159038755839</v>
      </c>
      <c r="M76" s="273">
        <f t="shared" si="4"/>
        <v>947889.03743050492</v>
      </c>
      <c r="N76" s="338" t="str">
        <f>IF($J76='Vehicle and Delay Conversion'!$D$37,'Vehicle and Delay Conversion'!$D$39,"")</f>
        <v/>
      </c>
      <c r="O76" s="337">
        <f>IF(N76="",IF(MAX(N77:N$94)&gt;0,N$44+(MAX(N$45:N$100)-N$44)*($J76-$J$44)/(MAX($I$45:$I$100)-$J$44),O75),N76)</f>
        <v>0</v>
      </c>
      <c r="P76" s="273">
        <f t="shared" si="5"/>
        <v>0</v>
      </c>
      <c r="Q76" s="338" t="str">
        <f>IF($J76='Vehicle and Delay Conversion'!$D$37,'Vehicle and Delay Conversion'!$D$40,"")</f>
        <v/>
      </c>
      <c r="R76" s="337">
        <f>IF(Q76="",IF(MAX(Q77:Q$94)&gt;0,Q$44+(MAX(Q$45:Q$100)-Q$44)*($J76-$J$44)/(MAX($I$45:$I$100)-$J$44),R75),Q76)</f>
        <v>5394.9639566473761</v>
      </c>
      <c r="S76" s="273">
        <f t="shared" si="6"/>
        <v>160540.45297257236</v>
      </c>
      <c r="T76" s="338" t="str">
        <f>IF($J76='Vehicle and Delay Conversion'!$D$37,'Vehicle and Delay Conversion'!$D$41,"")</f>
        <v/>
      </c>
      <c r="U76" s="337">
        <f>IF(T76="",IF(MAX(T77:T$94)&gt;0,T$44+(MAX(T$45:T$100)-T$44)*($J76-$J$44)/(MAX($I$45:$I$100)-$J$44),U75),T76)</f>
        <v>0</v>
      </c>
      <c r="V76" s="273">
        <f t="shared" si="7"/>
        <v>0</v>
      </c>
      <c r="W76" s="339">
        <f t="shared" si="17"/>
        <v>0.23922947321828586</v>
      </c>
      <c r="X76" s="275">
        <f t="shared" si="8"/>
        <v>226762.99509388773</v>
      </c>
      <c r="Y76" s="275">
        <f t="shared" si="9"/>
        <v>0</v>
      </c>
      <c r="Z76" s="275">
        <f t="shared" si="10"/>
        <v>38406.007994853477</v>
      </c>
      <c r="AA76" s="275">
        <f t="shared" si="11"/>
        <v>0</v>
      </c>
      <c r="AB76" s="308">
        <f t="shared" si="16"/>
        <v>33</v>
      </c>
    </row>
    <row r="77" spans="1:28" x14ac:dyDescent="0.25">
      <c r="A77" s="308">
        <f t="shared" si="12"/>
        <v>2051</v>
      </c>
      <c r="B77" s="491" t="s">
        <v>42</v>
      </c>
      <c r="C77" s="491"/>
      <c r="D77" s="491"/>
      <c r="E77" s="3">
        <f>'VOT growth'!F51*$E$43</f>
        <v>29.847567179577265</v>
      </c>
      <c r="F77" s="3">
        <f>'VOT growth'!G51*$F$43</f>
        <v>23.182358639369923</v>
      </c>
      <c r="G77" s="3">
        <f>'VOT growth'!H51*$G$43</f>
        <v>29.342829894079891</v>
      </c>
      <c r="H77" s="3">
        <f>'VOT growth'!I51*$H$43</f>
        <v>23.960540746150723</v>
      </c>
      <c r="I77" s="308" t="str">
        <f t="shared" si="13"/>
        <v/>
      </c>
      <c r="J77" s="21">
        <f t="shared" si="14"/>
        <v>2053</v>
      </c>
      <c r="K77" s="338" t="str">
        <f>IF(J77='Vehicle and Delay Conversion'!$D$37,'Vehicle and Delay Conversion'!$D$38,"")</f>
        <v/>
      </c>
      <c r="L77" s="337">
        <f>IF(K77="",IF(MAX(K78:K$94)&gt;0,K$44+(MAX(K$45:K$100)-K$44)*($J77-$J$44)/(MAX($I$45:$I$100)-$J$44),L76),K77)</f>
        <v>31315.159038755839</v>
      </c>
      <c r="M77" s="273">
        <f t="shared" si="4"/>
        <v>961096.76171259873</v>
      </c>
      <c r="N77" s="338" t="str">
        <f>IF($J77='Vehicle and Delay Conversion'!$D$37,'Vehicle and Delay Conversion'!$D$39,"")</f>
        <v/>
      </c>
      <c r="O77" s="337">
        <f>IF(N77="",IF(MAX(N78:N$94)&gt;0,N$44+(MAX(N$45:N$100)-N$44)*($J77-$J$44)/(MAX($I$45:$I$100)-$J$44),O76),N77)</f>
        <v>0</v>
      </c>
      <c r="P77" s="273">
        <f t="shared" si="5"/>
        <v>0</v>
      </c>
      <c r="Q77" s="338" t="str">
        <f>IF($J77='Vehicle and Delay Conversion'!$D$37,'Vehicle and Delay Conversion'!$D$40,"")</f>
        <v/>
      </c>
      <c r="R77" s="337">
        <f>IF(Q77="",IF(MAX(Q78:Q$94)&gt;0,Q$44+(MAX(Q$45:Q$100)-Q$44)*($J77-$J$44)/(MAX($I$45:$I$100)-$J$44),R76),Q77)</f>
        <v>5394.9639566473761</v>
      </c>
      <c r="S77" s="273">
        <f t="shared" si="6"/>
        <v>162777.39628054856</v>
      </c>
      <c r="T77" s="338" t="str">
        <f>IF($J77='Vehicle and Delay Conversion'!$D$37,'Vehicle and Delay Conversion'!$D$41,"")</f>
        <v/>
      </c>
      <c r="U77" s="337">
        <f>IF(T77="",IF(MAX(T78:T$94)&gt;0,T$44+(MAX(T$45:T$100)-T$44)*($J77-$J$44)/(MAX($I$45:$I$100)-$J$44),U76),T77)</f>
        <v>0</v>
      </c>
      <c r="V77" s="273">
        <f t="shared" si="7"/>
        <v>0</v>
      </c>
      <c r="W77" s="339">
        <f t="shared" si="17"/>
        <v>0.23226162448377266</v>
      </c>
      <c r="X77" s="275">
        <f t="shared" si="8"/>
        <v>223225.89516146155</v>
      </c>
      <c r="Y77" s="275">
        <f t="shared" si="9"/>
        <v>0</v>
      </c>
      <c r="Z77" s="275">
        <f t="shared" si="10"/>
        <v>37806.942489359026</v>
      </c>
      <c r="AA77" s="275">
        <f t="shared" si="11"/>
        <v>0</v>
      </c>
      <c r="AB77" s="308">
        <f t="shared" si="16"/>
        <v>34</v>
      </c>
    </row>
    <row r="78" spans="1:28" x14ac:dyDescent="0.25">
      <c r="A78" s="308">
        <f t="shared" si="12"/>
        <v>2052</v>
      </c>
      <c r="B78" s="491" t="s">
        <v>41</v>
      </c>
      <c r="C78" s="491"/>
      <c r="D78" s="491"/>
      <c r="E78" s="3">
        <f>'VOT growth'!F52*$E$43</f>
        <v>30.269334933199332</v>
      </c>
      <c r="F78" s="3">
        <f>'VOT growth'!G52*$F$43</f>
        <v>23.509942166300664</v>
      </c>
      <c r="G78" s="3">
        <f>'VOT growth'!H52*$G$43</f>
        <v>29.757465344094339</v>
      </c>
      <c r="H78" s="3">
        <f>'VOT growth'!I52*$H$43</f>
        <v>24.299120550168677</v>
      </c>
      <c r="I78" s="308" t="str">
        <f t="shared" si="13"/>
        <v/>
      </c>
      <c r="J78" s="21">
        <f t="shared" si="14"/>
        <v>2054</v>
      </c>
      <c r="K78" s="338" t="str">
        <f>IF(J78='Vehicle and Delay Conversion'!$D$37,'Vehicle and Delay Conversion'!$D$38,"")</f>
        <v/>
      </c>
      <c r="L78" s="337">
        <f>IF(K78="",IF(MAX(K79:K$94)&gt;0,K$44+(MAX(K$45:K$100)-K$44)*($J78-$J$44)/(MAX($I$45:$I$100)-$J$44),L77),K78)</f>
        <v>31315.159038755839</v>
      </c>
      <c r="M78" s="273">
        <f t="shared" si="4"/>
        <v>974304.48599469243</v>
      </c>
      <c r="N78" s="338" t="str">
        <f>IF($J78='Vehicle and Delay Conversion'!$D$37,'Vehicle and Delay Conversion'!$D$39,"")</f>
        <v/>
      </c>
      <c r="O78" s="337">
        <f>IF(N78="",IF(MAX(N79:N$94)&gt;0,N$44+(MAX(N$45:N$100)-N$44)*($J78-$J$44)/(MAX($I$45:$I$100)-$J$44),O77),N78)</f>
        <v>0</v>
      </c>
      <c r="P78" s="273">
        <f t="shared" si="5"/>
        <v>0</v>
      </c>
      <c r="Q78" s="338" t="str">
        <f>IF($J78='Vehicle and Delay Conversion'!$D$37,'Vehicle and Delay Conversion'!$D$40,"")</f>
        <v/>
      </c>
      <c r="R78" s="337">
        <f>IF(Q78="",IF(MAX(Q79:Q$94)&gt;0,Q$44+(MAX(Q$45:Q$100)-Q$44)*($J78-$J$44)/(MAX($I$45:$I$100)-$J$44),R77),Q78)</f>
        <v>5394.9639566473761</v>
      </c>
      <c r="S78" s="273">
        <f t="shared" si="6"/>
        <v>165014.33958852477</v>
      </c>
      <c r="T78" s="338" t="str">
        <f>IF($J78='Vehicle and Delay Conversion'!$D$37,'Vehicle and Delay Conversion'!$D$41,"")</f>
        <v/>
      </c>
      <c r="U78" s="337">
        <f>IF(T78="",IF(MAX(T79:T$94)&gt;0,T$44+(MAX(T$45:T$100)-T$44)*($J78-$J$44)/(MAX($I$45:$I$100)-$J$44),U77),T78)</f>
        <v>0</v>
      </c>
      <c r="V78" s="273">
        <f t="shared" si="7"/>
        <v>0</v>
      </c>
      <c r="W78" s="339">
        <f t="shared" si="17"/>
        <v>0.22549672279977928</v>
      </c>
      <c r="X78" s="275">
        <f t="shared" si="8"/>
        <v>219702.4686009266</v>
      </c>
      <c r="Y78" s="275">
        <f t="shared" si="9"/>
        <v>0</v>
      </c>
      <c r="Z78" s="275">
        <f t="shared" si="10"/>
        <v>37210.192792182213</v>
      </c>
      <c r="AA78" s="275">
        <f t="shared" si="11"/>
        <v>0</v>
      </c>
      <c r="AB78" s="308">
        <f t="shared" si="16"/>
        <v>35</v>
      </c>
    </row>
    <row r="79" spans="1:28" x14ac:dyDescent="0.25">
      <c r="A79" s="308">
        <f t="shared" si="12"/>
        <v>2053</v>
      </c>
      <c r="B79" s="491" t="s">
        <v>40</v>
      </c>
      <c r="C79" s="491"/>
      <c r="D79" s="491"/>
      <c r="E79" s="3">
        <f>'VOT growth'!F53*$E$43</f>
        <v>30.691102686821399</v>
      </c>
      <c r="F79" s="3">
        <f>'VOT growth'!G53*$F$43</f>
        <v>23.837525693231406</v>
      </c>
      <c r="G79" s="3">
        <f>'VOT growth'!H53*$G$43</f>
        <v>30.172100794108786</v>
      </c>
      <c r="H79" s="3">
        <f>'VOT growth'!I53*$H$43</f>
        <v>24.637700354186631</v>
      </c>
      <c r="I79" s="308" t="str">
        <f t="shared" si="13"/>
        <v/>
      </c>
      <c r="J79" s="21">
        <f t="shared" si="14"/>
        <v>2055</v>
      </c>
      <c r="K79" s="338" t="str">
        <f>IF(J79='Vehicle and Delay Conversion'!$D$37,'Vehicle and Delay Conversion'!$D$38,"")</f>
        <v/>
      </c>
      <c r="L79" s="337">
        <f>IF(K79="",IF(MAX(K80:K$94)&gt;0,K$44+(MAX(K$45:K$100)-K$44)*($J79-$J$44)/(MAX($I$45:$I$100)-$J$44),L78),K79)</f>
        <v>31315.159038755839</v>
      </c>
      <c r="M79" s="273">
        <f t="shared" si="4"/>
        <v>987512.21027678624</v>
      </c>
      <c r="N79" s="338" t="str">
        <f>IF($J79='Vehicle and Delay Conversion'!$D$37,'Vehicle and Delay Conversion'!$D$39,"")</f>
        <v/>
      </c>
      <c r="O79" s="337">
        <f>IF(N79="",IF(MAX(N80:N$94)&gt;0,N$44+(MAX(N$45:N$100)-N$44)*($J79-$J$44)/(MAX($I$45:$I$100)-$J$44),O78),N79)</f>
        <v>0</v>
      </c>
      <c r="P79" s="273">
        <f t="shared" si="5"/>
        <v>0</v>
      </c>
      <c r="Q79" s="338" t="str">
        <f>IF($J79='Vehicle and Delay Conversion'!$D$37,'Vehicle and Delay Conversion'!$D$40,"")</f>
        <v/>
      </c>
      <c r="R79" s="337">
        <f>IF(Q79="",IF(MAX(Q80:Q$94)&gt;0,Q$44+(MAX(Q$45:Q$100)-Q$44)*($J79-$J$44)/(MAX($I$45:$I$100)-$J$44),R78),Q79)</f>
        <v>5394.9639566473761</v>
      </c>
      <c r="S79" s="273">
        <f t="shared" si="6"/>
        <v>167251.28289650101</v>
      </c>
      <c r="T79" s="338" t="str">
        <f>IF($J79='Vehicle and Delay Conversion'!$D$37,'Vehicle and Delay Conversion'!$D$41,"")</f>
        <v/>
      </c>
      <c r="U79" s="337">
        <f>IF(T79="",IF(MAX(T80:T$94)&gt;0,T$44+(MAX(T$45:T$100)-T$44)*($J79-$J$44)/(MAX($I$45:$I$100)-$J$44),U78),T79)</f>
        <v>0</v>
      </c>
      <c r="V79" s="273">
        <f t="shared" si="7"/>
        <v>0</v>
      </c>
      <c r="W79" s="339">
        <f t="shared" si="17"/>
        <v>0.21892885708716434</v>
      </c>
      <c r="X79" s="275">
        <f t="shared" si="8"/>
        <v>216194.9195555163</v>
      </c>
      <c r="Y79" s="275">
        <f t="shared" si="9"/>
        <v>0</v>
      </c>
      <c r="Z79" s="275">
        <f t="shared" si="10"/>
        <v>36616.13221089296</v>
      </c>
      <c r="AA79" s="275">
        <f t="shared" si="11"/>
        <v>0</v>
      </c>
      <c r="AB79" s="308">
        <f t="shared" si="16"/>
        <v>36</v>
      </c>
    </row>
    <row r="80" spans="1:28" x14ac:dyDescent="0.25">
      <c r="A80" s="308">
        <f t="shared" si="12"/>
        <v>2054</v>
      </c>
      <c r="B80" s="491" t="s">
        <v>39</v>
      </c>
      <c r="C80" s="491"/>
      <c r="D80" s="491"/>
      <c r="E80" s="3">
        <f>'VOT growth'!F54*$E$43</f>
        <v>31.112870440443462</v>
      </c>
      <c r="F80" s="3">
        <f>'VOT growth'!G54*$F$43</f>
        <v>24.165109220162147</v>
      </c>
      <c r="G80" s="3">
        <f>'VOT growth'!H54*$G$43</f>
        <v>30.586736244123234</v>
      </c>
      <c r="H80" s="3">
        <f>'VOT growth'!I54*$H$43</f>
        <v>24.976280158204585</v>
      </c>
      <c r="I80" s="308" t="str">
        <f t="shared" si="13"/>
        <v/>
      </c>
      <c r="J80" s="21">
        <f t="shared" si="14"/>
        <v>2056</v>
      </c>
      <c r="K80" s="338" t="str">
        <f>IF(J80='Vehicle and Delay Conversion'!$D$37,'Vehicle and Delay Conversion'!$D$38,"")</f>
        <v/>
      </c>
      <c r="L80" s="337">
        <f>IF(K80="",IF(MAX(K81:K$94)&gt;0,K$44+(MAX(K$45:K$100)-K$44)*($J80-$J$44)/(MAX($I$45:$I$100)-$J$44),L79),K80)</f>
        <v>31315.159038755839</v>
      </c>
      <c r="M80" s="273">
        <f t="shared" si="4"/>
        <v>1000719.9345588799</v>
      </c>
      <c r="N80" s="338" t="str">
        <f>IF($J80='Vehicle and Delay Conversion'!$D$37,'Vehicle and Delay Conversion'!$D$39,"")</f>
        <v/>
      </c>
      <c r="O80" s="337">
        <f>IF(N80="",IF(MAX(N81:N$94)&gt;0,N$44+(MAX(N$45:N$100)-N$44)*($J80-$J$44)/(MAX($I$45:$I$100)-$J$44),O79),N80)</f>
        <v>0</v>
      </c>
      <c r="P80" s="273">
        <f t="shared" si="5"/>
        <v>0</v>
      </c>
      <c r="Q80" s="338" t="str">
        <f>IF($J80='Vehicle and Delay Conversion'!$D$37,'Vehicle and Delay Conversion'!$D$40,"")</f>
        <v/>
      </c>
      <c r="R80" s="337">
        <f>IF(Q80="",IF(MAX(Q81:Q$94)&gt;0,Q$44+(MAX(Q$45:Q$100)-Q$44)*($J80-$J$44)/(MAX($I$45:$I$100)-$J$44),R79),Q80)</f>
        <v>5394.9639566473761</v>
      </c>
      <c r="S80" s="273">
        <f t="shared" si="6"/>
        <v>169488.22620447719</v>
      </c>
      <c r="T80" s="338" t="str">
        <f>IF($J80='Vehicle and Delay Conversion'!$D$37,'Vehicle and Delay Conversion'!$D$41,"")</f>
        <v/>
      </c>
      <c r="U80" s="337">
        <f>IF(T80="",IF(MAX(T81:T$94)&gt;0,T$44+(MAX(T$45:T$100)-T$44)*($J80-$J$44)/(MAX($I$45:$I$100)-$J$44),U79),T80)</f>
        <v>0</v>
      </c>
      <c r="V80" s="273">
        <f t="shared" si="7"/>
        <v>0</v>
      </c>
      <c r="W80" s="339">
        <f t="shared" si="17"/>
        <v>0.21255228843414012</v>
      </c>
      <c r="X80" s="275">
        <f t="shared" si="8"/>
        <v>212705.31217215286</v>
      </c>
      <c r="Y80" s="275">
        <f t="shared" si="9"/>
        <v>0</v>
      </c>
      <c r="Z80" s="275">
        <f t="shared" si="10"/>
        <v>36025.11034240482</v>
      </c>
      <c r="AA80" s="275">
        <f t="shared" si="11"/>
        <v>0</v>
      </c>
      <c r="AB80" s="308">
        <f t="shared" si="16"/>
        <v>37</v>
      </c>
    </row>
    <row r="81" spans="1:28" x14ac:dyDescent="0.25">
      <c r="A81" s="308">
        <f t="shared" si="12"/>
        <v>2055</v>
      </c>
      <c r="B81" s="491" t="s">
        <v>38</v>
      </c>
      <c r="C81" s="491"/>
      <c r="D81" s="491"/>
      <c r="E81" s="3">
        <f>'VOT growth'!F55*$E$43</f>
        <v>31.534638194065529</v>
      </c>
      <c r="F81" s="3">
        <f>'VOT growth'!G55*$F$43</f>
        <v>24.492692747092892</v>
      </c>
      <c r="G81" s="3">
        <f>'VOT growth'!H55*$G$43</f>
        <v>31.001371694137685</v>
      </c>
      <c r="H81" s="3">
        <f>'VOT growth'!I55*$H$43</f>
        <v>25.314859962222535</v>
      </c>
      <c r="I81" s="308" t="str">
        <f t="shared" si="13"/>
        <v/>
      </c>
      <c r="J81" s="21">
        <f t="shared" si="14"/>
        <v>2057</v>
      </c>
      <c r="K81" s="338" t="str">
        <f>IF(J81='Vehicle and Delay Conversion'!$D$37,'Vehicle and Delay Conversion'!$D$38,"")</f>
        <v/>
      </c>
      <c r="L81" s="337">
        <f>IF(K81="",IF(MAX(K82:K$94)&gt;0,K$44+(MAX(K$45:K$100)-K$44)*($J81-$J$44)/(MAX($I$45:$I$100)-$J$44),L80),K81)</f>
        <v>31315.159038755839</v>
      </c>
      <c r="M81" s="273">
        <f t="shared" si="4"/>
        <v>1014030.8085026244</v>
      </c>
      <c r="N81" s="338" t="str">
        <f>IF($J81='Vehicle and Delay Conversion'!$D$37,'Vehicle and Delay Conversion'!$D$39,"")</f>
        <v/>
      </c>
      <c r="O81" s="337">
        <f>IF(N81="",IF(MAX(N82:N$94)&gt;0,N$44+(MAX(N$45:N$100)-N$44)*($J81-$J$44)/(MAX($I$45:$I$100)-$J$44),O80),N81)</f>
        <v>0</v>
      </c>
      <c r="P81" s="273">
        <f t="shared" si="5"/>
        <v>0</v>
      </c>
      <c r="Q81" s="338" t="str">
        <f>IF($J81='Vehicle and Delay Conversion'!$D$37,'Vehicle and Delay Conversion'!$D$40,"")</f>
        <v/>
      </c>
      <c r="R81" s="337">
        <f>IF(Q81="",IF(MAX(Q82:Q$94)&gt;0,Q$44+(MAX(Q$45:Q$100)-Q$44)*($J81-$J$44)/(MAX($I$45:$I$100)-$J$44),R80),Q81)</f>
        <v>5394.9639566473761</v>
      </c>
      <c r="S81" s="273">
        <f t="shared" si="6"/>
        <v>171742.63958832884</v>
      </c>
      <c r="T81" s="338" t="str">
        <f>IF($J81='Vehicle and Delay Conversion'!$D$37,'Vehicle and Delay Conversion'!$D$41,"")</f>
        <v/>
      </c>
      <c r="U81" s="337">
        <f>IF(T81="",IF(MAX(T82:T$94)&gt;0,T$44+(MAX(T$45:T$100)-T$44)*($J81-$J$44)/(MAX($I$45:$I$100)-$J$44),U80),T81)</f>
        <v>0</v>
      </c>
      <c r="V81" s="273">
        <f t="shared" si="7"/>
        <v>0</v>
      </c>
      <c r="W81" s="339">
        <f t="shared" si="17"/>
        <v>0.20636144508168944</v>
      </c>
      <c r="X81" s="275">
        <f t="shared" si="8"/>
        <v>209256.86299995545</v>
      </c>
      <c r="Y81" s="275">
        <f t="shared" si="9"/>
        <v>0</v>
      </c>
      <c r="Z81" s="275">
        <f t="shared" si="10"/>
        <v>35441.059287591306</v>
      </c>
      <c r="AA81" s="275">
        <f t="shared" si="11"/>
        <v>0</v>
      </c>
      <c r="AB81" s="308">
        <f t="shared" si="16"/>
        <v>38</v>
      </c>
    </row>
    <row r="82" spans="1:28" x14ac:dyDescent="0.25">
      <c r="A82" s="308">
        <f t="shared" si="12"/>
        <v>2056</v>
      </c>
      <c r="B82" s="491" t="s">
        <v>37</v>
      </c>
      <c r="C82" s="491"/>
      <c r="D82" s="491"/>
      <c r="E82" s="3">
        <f>'VOT growth'!F56*$E$43</f>
        <v>31.956405947687593</v>
      </c>
      <c r="F82" s="3">
        <f>'VOT growth'!G56*$F$43</f>
        <v>24.820276274023627</v>
      </c>
      <c r="G82" s="3">
        <f>'VOT growth'!H56*$G$43</f>
        <v>31.416007144152125</v>
      </c>
      <c r="H82" s="3">
        <f>'VOT growth'!I56*$H$43</f>
        <v>25.653439766240488</v>
      </c>
      <c r="I82" s="308" t="str">
        <f t="shared" si="13"/>
        <v/>
      </c>
      <c r="J82" s="21">
        <f t="shared" si="14"/>
        <v>2058</v>
      </c>
      <c r="K82" s="338" t="str">
        <f>IF(J82='Vehicle and Delay Conversion'!$D$37,'Vehicle and Delay Conversion'!$D$38,"")</f>
        <v/>
      </c>
      <c r="L82" s="337">
        <f>IF(K82="",IF(MAX(K83:K$94)&gt;0,K$44+(MAX(K$45:K$100)-K$44)*($J82-$J$44)/(MAX($I$45:$I$100)-$J$44),L81),K82)</f>
        <v>31315.159038755839</v>
      </c>
      <c r="M82" s="273">
        <f t="shared" si="4"/>
        <v>1027770.5491592038</v>
      </c>
      <c r="N82" s="338" t="str">
        <f>IF($J82='Vehicle and Delay Conversion'!$D$37,'Vehicle and Delay Conversion'!$D$39,"")</f>
        <v/>
      </c>
      <c r="O82" s="337">
        <f>IF(N82="",IF(MAX(N83:N$94)&gt;0,N$44+(MAX(N$45:N$100)-N$44)*($J82-$J$44)/(MAX($I$45:$I$100)-$J$44),O81),N82)</f>
        <v>0</v>
      </c>
      <c r="P82" s="273">
        <f t="shared" si="5"/>
        <v>0</v>
      </c>
      <c r="Q82" s="338" t="str">
        <f>IF($J82='Vehicle and Delay Conversion'!$D$37,'Vehicle and Delay Conversion'!$D$40,"")</f>
        <v/>
      </c>
      <c r="R82" s="337">
        <f>IF(Q82="",IF(MAX(Q83:Q$94)&gt;0,Q$44+(MAX(Q$45:Q$100)-Q$44)*($J82-$J$44)/(MAX($I$45:$I$100)-$J$44),R81),Q82)</f>
        <v>5394.9639566473761</v>
      </c>
      <c r="S82" s="273">
        <f t="shared" si="6"/>
        <v>174069.68853776311</v>
      </c>
      <c r="T82" s="338" t="str">
        <f>IF($J82='Vehicle and Delay Conversion'!$D$37,'Vehicle and Delay Conversion'!$D$41,"")</f>
        <v/>
      </c>
      <c r="U82" s="337">
        <f>IF(T82="",IF(MAX(T83:T$94)&gt;0,T$44+(MAX(T$45:T$100)-T$44)*($J82-$J$44)/(MAX($I$45:$I$100)-$J$44),U81),T82)</f>
        <v>0</v>
      </c>
      <c r="V82" s="273">
        <f t="shared" si="7"/>
        <v>0</v>
      </c>
      <c r="W82" s="339">
        <f t="shared" si="17"/>
        <v>0.20035091755503828</v>
      </c>
      <c r="X82" s="275">
        <f t="shared" si="8"/>
        <v>205914.77256009207</v>
      </c>
      <c r="Y82" s="275">
        <f t="shared" si="9"/>
        <v>0</v>
      </c>
      <c r="Z82" s="275">
        <f t="shared" si="10"/>
        <v>34875.021817060573</v>
      </c>
      <c r="AA82" s="275">
        <f t="shared" si="11"/>
        <v>0</v>
      </c>
      <c r="AB82" s="308">
        <f t="shared" si="16"/>
        <v>39</v>
      </c>
    </row>
    <row r="83" spans="1:28" x14ac:dyDescent="0.25">
      <c r="A83" s="308">
        <f t="shared" si="12"/>
        <v>2057</v>
      </c>
      <c r="B83" s="491" t="s">
        <v>36</v>
      </c>
      <c r="C83" s="491"/>
      <c r="D83" s="491"/>
      <c r="E83" s="3">
        <f>'VOT growth'!F57*$E$43</f>
        <v>32.381467622363132</v>
      </c>
      <c r="F83" s="3">
        <f>'VOT growth'!G57*$F$43</f>
        <v>25.150418162201436</v>
      </c>
      <c r="G83" s="3">
        <f>'VOT growth'!H57*$G$43</f>
        <v>31.833880813368001</v>
      </c>
      <c r="H83" s="3">
        <f>'VOT growth'!I57*$H$43</f>
        <v>25.994663810210781</v>
      </c>
      <c r="I83" s="308" t="str">
        <f t="shared" si="13"/>
        <v/>
      </c>
      <c r="J83" s="21">
        <f t="shared" si="14"/>
        <v>2059</v>
      </c>
      <c r="K83" s="338" t="str">
        <f>IF(J83='Vehicle and Delay Conversion'!$D$37,'Vehicle and Delay Conversion'!$D$38,"")</f>
        <v/>
      </c>
      <c r="L83" s="337">
        <f>IF(K83="",IF(MAX(K84:K$94)&gt;0,K$44+(MAX(K$45:K$100)-K$44)*($J83-$J$44)/(MAX($I$45:$I$100)-$J$44),L82),K83)</f>
        <v>31315.159038755839</v>
      </c>
      <c r="M83" s="273">
        <f t="shared" si="4"/>
        <v>1041510.2898157832</v>
      </c>
      <c r="N83" s="338" t="str">
        <f>IF($J83='Vehicle and Delay Conversion'!$D$37,'Vehicle and Delay Conversion'!$D$39,"")</f>
        <v/>
      </c>
      <c r="O83" s="337">
        <f>IF(N83="",IF(MAX(N84:N$94)&gt;0,N$44+(MAX(N$45:N$100)-N$44)*($J83-$J$44)/(MAX($I$45:$I$100)-$J$44),O82),N83)</f>
        <v>0</v>
      </c>
      <c r="P83" s="273">
        <f t="shared" si="5"/>
        <v>0</v>
      </c>
      <c r="Q83" s="338" t="str">
        <f>IF($J83='Vehicle and Delay Conversion'!$D$37,'Vehicle and Delay Conversion'!$D$40,"")</f>
        <v/>
      </c>
      <c r="R83" s="337">
        <f>IF(Q83="",IF(MAX(Q84:Q$94)&gt;0,Q$44+(MAX(Q$45:Q$100)-Q$44)*($J83-$J$44)/(MAX($I$45:$I$100)-$J$44),R82),Q83)</f>
        <v>5394.9639566473761</v>
      </c>
      <c r="S83" s="273">
        <f t="shared" si="6"/>
        <v>176396.73748719736</v>
      </c>
      <c r="T83" s="338" t="str">
        <f>IF($J83='Vehicle and Delay Conversion'!$D$37,'Vehicle and Delay Conversion'!$D$41,"")</f>
        <v/>
      </c>
      <c r="U83" s="337">
        <f>IF(T83="",IF(MAX(T84:T$94)&gt;0,T$44+(MAX(T$45:T$100)-T$44)*($J83-$J$44)/(MAX($I$45:$I$100)-$J$44),U82),T83)</f>
        <v>0</v>
      </c>
      <c r="V83" s="273">
        <f t="shared" si="7"/>
        <v>0</v>
      </c>
      <c r="W83" s="339">
        <f t="shared" si="17"/>
        <v>0.19451545393693037</v>
      </c>
      <c r="X83" s="275">
        <f t="shared" si="8"/>
        <v>202589.84680350096</v>
      </c>
      <c r="Y83" s="275">
        <f t="shared" si="9"/>
        <v>0</v>
      </c>
      <c r="Z83" s="275">
        <f t="shared" si="10"/>
        <v>34311.891465315734</v>
      </c>
      <c r="AA83" s="275">
        <f t="shared" si="11"/>
        <v>0</v>
      </c>
      <c r="AB83" s="308">
        <f t="shared" si="16"/>
        <v>40</v>
      </c>
    </row>
    <row r="84" spans="1:28" x14ac:dyDescent="0.25">
      <c r="A84" s="308">
        <f t="shared" si="12"/>
        <v>2058</v>
      </c>
      <c r="B84" s="491" t="s">
        <v>35</v>
      </c>
      <c r="C84" s="491"/>
      <c r="D84" s="491"/>
      <c r="E84" s="3">
        <f>'VOT growth'!F58*$E$43</f>
        <v>32.820224476178723</v>
      </c>
      <c r="F84" s="3">
        <f>'VOT growth'!G58*$F$43</f>
        <v>25.491196982781304</v>
      </c>
      <c r="G84" s="3">
        <f>'VOT growth'!H58*$G$43</f>
        <v>32.265218069396752</v>
      </c>
      <c r="H84" s="3">
        <f>'VOT growth'!I58*$H$43</f>
        <v>26.34688184561216</v>
      </c>
      <c r="I84" s="308" t="str">
        <f t="shared" si="13"/>
        <v/>
      </c>
      <c r="J84" s="21">
        <f t="shared" si="14"/>
        <v>2060</v>
      </c>
      <c r="K84" s="338" t="str">
        <f>IF(J84='Vehicle and Delay Conversion'!$D$37,'Vehicle and Delay Conversion'!$D$38,"")</f>
        <v/>
      </c>
      <c r="L84" s="337">
        <f>IF(K84="",IF(MAX(K85:K$94)&gt;0,K$44+(MAX(K$45:K$100)-K$44)*($J84-$J$44)/(MAX($I$45:$I$100)-$J$44),L83),K84)</f>
        <v>31315.159038755839</v>
      </c>
      <c r="M84" s="273">
        <f t="shared" si="4"/>
        <v>1055678.8971851976</v>
      </c>
      <c r="N84" s="338" t="str">
        <f>IF($J84='Vehicle and Delay Conversion'!$D$37,'Vehicle and Delay Conversion'!$D$39,"")</f>
        <v/>
      </c>
      <c r="O84" s="337">
        <f>IF(N84="",IF(MAX(N85:N$94)&gt;0,N$44+(MAX(N$45:N$100)-N$44)*($J84-$J$44)/(MAX($I$45:$I$100)-$J$44),O83),N84)</f>
        <v>0</v>
      </c>
      <c r="P84" s="273">
        <f t="shared" si="5"/>
        <v>0</v>
      </c>
      <c r="Q84" s="338" t="str">
        <f>IF($J84='Vehicle and Delay Conversion'!$D$37,'Vehicle and Delay Conversion'!$D$40,"")</f>
        <v/>
      </c>
      <c r="R84" s="337">
        <f>IF(Q84="",IF(MAX(Q85:Q$94)&gt;0,Q$44+(MAX(Q$45:Q$100)-Q$44)*($J84-$J$44)/(MAX($I$45:$I$100)-$J$44),R83),Q84)</f>
        <v>5394.9639566473761</v>
      </c>
      <c r="S84" s="273">
        <f t="shared" si="6"/>
        <v>178796.42200221433</v>
      </c>
      <c r="T84" s="338" t="str">
        <f>IF($J84='Vehicle and Delay Conversion'!$D$37,'Vehicle and Delay Conversion'!$D$41,"")</f>
        <v/>
      </c>
      <c r="U84" s="337">
        <f>IF(T84="",IF(MAX(T85:T$94)&gt;0,T$44+(MAX(T$45:T$100)-T$44)*($J84-$J$44)/(MAX($I$45:$I$100)-$J$44),U83),T84)</f>
        <v>0</v>
      </c>
      <c r="V84" s="273">
        <f t="shared" si="7"/>
        <v>0</v>
      </c>
      <c r="W84" s="339">
        <f t="shared" si="17"/>
        <v>0.18884995527857318</v>
      </c>
      <c r="X84" s="275">
        <f t="shared" si="8"/>
        <v>199364.912521958</v>
      </c>
      <c r="Y84" s="275">
        <f t="shared" si="9"/>
        <v>0</v>
      </c>
      <c r="Z84" s="275">
        <f t="shared" si="10"/>
        <v>33765.696299087074</v>
      </c>
      <c r="AA84" s="275">
        <f t="shared" si="11"/>
        <v>0</v>
      </c>
      <c r="AB84" s="308">
        <f t="shared" si="16"/>
        <v>41</v>
      </c>
    </row>
    <row r="85" spans="1:28" x14ac:dyDescent="0.25">
      <c r="A85" s="308">
        <f t="shared" si="12"/>
        <v>2059</v>
      </c>
      <c r="B85" s="491" t="s">
        <v>34</v>
      </c>
      <c r="C85" s="491"/>
      <c r="D85" s="491"/>
      <c r="E85" s="3">
        <f>'VOT growth'!F59*$E$43</f>
        <v>33.258981329994313</v>
      </c>
      <c r="F85" s="3">
        <f>'VOT growth'!G59*$F$43</f>
        <v>25.831975803361164</v>
      </c>
      <c r="G85" s="3">
        <f>'VOT growth'!H59*$G$43</f>
        <v>32.696555325425493</v>
      </c>
      <c r="H85" s="3">
        <f>'VOT growth'!I59*$H$43</f>
        <v>26.699099881013538</v>
      </c>
      <c r="I85" s="308" t="str">
        <f t="shared" si="13"/>
        <v/>
      </c>
      <c r="J85" s="21">
        <f t="shared" si="14"/>
        <v>2061</v>
      </c>
      <c r="K85" s="338" t="str">
        <f>IF(J85='Vehicle and Delay Conversion'!$D$37,'Vehicle and Delay Conversion'!$D$38,"")</f>
        <v/>
      </c>
      <c r="L85" s="337">
        <f>IF(K85="",IF(MAX(K86:K$94)&gt;0,K$44+(MAX(K$45:K$100)-K$44)*($J85-$J$44)/(MAX($I$45:$I$100)-$J$44),L84),K85)</f>
        <v>31315.159038755839</v>
      </c>
      <c r="M85" s="273">
        <f t="shared" si="4"/>
        <v>1069847.5045546121</v>
      </c>
      <c r="N85" s="338" t="str">
        <f>IF($J85='Vehicle and Delay Conversion'!$D$37,'Vehicle and Delay Conversion'!$D$39,"")</f>
        <v/>
      </c>
      <c r="O85" s="337">
        <f>IF(N85="",IF(MAX(N86:N$94)&gt;0,N$44+(MAX(N$45:N$100)-N$44)*($J85-$J$44)/(MAX($I$45:$I$100)-$J$44),O84),N85)</f>
        <v>0</v>
      </c>
      <c r="P85" s="273">
        <f t="shared" si="5"/>
        <v>0</v>
      </c>
      <c r="Q85" s="338" t="str">
        <f>IF($J85='Vehicle and Delay Conversion'!$D$37,'Vehicle and Delay Conversion'!$D$40,"")</f>
        <v/>
      </c>
      <c r="R85" s="337">
        <f>IF(Q85="",IF(MAX(Q86:Q$94)&gt;0,Q$44+(MAX(Q$45:Q$100)-Q$44)*($J85-$J$44)/(MAX($I$45:$I$100)-$J$44),R84),Q85)</f>
        <v>5394.9639566473761</v>
      </c>
      <c r="S85" s="273">
        <f t="shared" si="6"/>
        <v>181196.10651723132</v>
      </c>
      <c r="T85" s="338" t="str">
        <f>IF($J85='Vehicle and Delay Conversion'!$D$37,'Vehicle and Delay Conversion'!$D$41,"")</f>
        <v/>
      </c>
      <c r="U85" s="337">
        <f>IF(T85="",IF(MAX(T86:T$94)&gt;0,T$44+(MAX(T$45:T$100)-T$44)*($J85-$J$44)/(MAX($I$45:$I$100)-$J$44),U84),T85)</f>
        <v>0</v>
      </c>
      <c r="V85" s="273">
        <f t="shared" si="7"/>
        <v>0</v>
      </c>
      <c r="W85" s="339">
        <f t="shared" si="17"/>
        <v>0.1833494711442458</v>
      </c>
      <c r="X85" s="275">
        <f t="shared" si="8"/>
        <v>196155.97416507921</v>
      </c>
      <c r="Y85" s="275">
        <f t="shared" si="9"/>
        <v>0</v>
      </c>
      <c r="Z85" s="275">
        <f t="shared" si="10"/>
        <v>33222.210303330794</v>
      </c>
      <c r="AA85" s="275">
        <f t="shared" si="11"/>
        <v>0</v>
      </c>
      <c r="AB85" s="308">
        <f t="shared" si="16"/>
        <v>42</v>
      </c>
    </row>
    <row r="86" spans="1:28" x14ac:dyDescent="0.25">
      <c r="A86" s="308">
        <f t="shared" si="12"/>
        <v>2060</v>
      </c>
      <c r="B86" s="491" t="s">
        <v>33</v>
      </c>
      <c r="C86" s="491"/>
      <c r="D86" s="491"/>
      <c r="E86" s="3">
        <f>'VOT growth'!F60*$E$43</f>
        <v>33.711433362949961</v>
      </c>
      <c r="F86" s="3">
        <f>'VOT growth'!G60*$F$43</f>
        <v>26.183391556343089</v>
      </c>
      <c r="G86" s="3">
        <f>'VOT growth'!H60*$G$43</f>
        <v>33.141356168267123</v>
      </c>
      <c r="H86" s="3">
        <f>'VOT growth'!I60*$H$43</f>
        <v>27.062311907846006</v>
      </c>
      <c r="I86" s="308" t="str">
        <f t="shared" si="13"/>
        <v/>
      </c>
      <c r="J86" s="21">
        <f t="shared" si="14"/>
        <v>2062</v>
      </c>
      <c r="K86" s="338" t="str">
        <f>IF(J86='Vehicle and Delay Conversion'!$D$37,'Vehicle and Delay Conversion'!$D$38,"")</f>
        <v/>
      </c>
      <c r="L86" s="337">
        <f>IF(K86="",IF(MAX(K87:K$94)&gt;0,K$44+(MAX(K$45:K$100)-K$44)*($J86-$J$44)/(MAX($I$45:$I$100)-$J$44),L85),K86)</f>
        <v>31315.159038755839</v>
      </c>
      <c r="M86" s="273">
        <f t="shared" si="4"/>
        <v>1084041.7067158099</v>
      </c>
      <c r="N86" s="338" t="str">
        <f>IF($J86='Vehicle and Delay Conversion'!$D$37,'Vehicle and Delay Conversion'!$D$39,"")</f>
        <v/>
      </c>
      <c r="O86" s="337">
        <f>IF(N86="",IF(MAX(N87:N$94)&gt;0,N$44+(MAX(N$45:N$100)-N$44)*($J86-$J$44)/(MAX($I$45:$I$100)-$J$44),O85),N86)</f>
        <v>0</v>
      </c>
      <c r="P86" s="273">
        <f t="shared" si="5"/>
        <v>0</v>
      </c>
      <c r="Q86" s="338" t="str">
        <f>IF($J86='Vehicle and Delay Conversion'!$D$37,'Vehicle and Delay Conversion'!$D$40,"")</f>
        <v/>
      </c>
      <c r="R86" s="337">
        <f>IF(Q86="",IF(MAX(Q87:Q$94)&gt;0,Q$44+(MAX(Q$45:Q$100)-Q$44)*($J86-$J$44)/(MAX($I$45:$I$100)-$J$44),R85),Q86)</f>
        <v>5394.9639566473761</v>
      </c>
      <c r="S86" s="273">
        <f t="shared" si="6"/>
        <v>183600.12592726693</v>
      </c>
      <c r="T86" s="338" t="str">
        <f>IF($J86='Vehicle and Delay Conversion'!$D$37,'Vehicle and Delay Conversion'!$D$41,"")</f>
        <v/>
      </c>
      <c r="U86" s="337">
        <f>IF(T86="",IF(MAX(T87:T$94)&gt;0,T$44+(MAX(T$45:T$100)-T$44)*($J86-$J$44)/(MAX($I$45:$I$100)-$J$44),U85),T86)</f>
        <v>0</v>
      </c>
      <c r="V86" s="273">
        <f t="shared" si="7"/>
        <v>0</v>
      </c>
      <c r="W86" s="339">
        <f t="shared" si="17"/>
        <v>0.17800919528567552</v>
      </c>
      <c r="X86" s="275">
        <f t="shared" si="8"/>
        <v>192969.3918685916</v>
      </c>
      <c r="Y86" s="275">
        <f t="shared" si="9"/>
        <v>0</v>
      </c>
      <c r="Z86" s="275">
        <f t="shared" si="10"/>
        <v>32682.510670661475</v>
      </c>
      <c r="AA86" s="275">
        <f t="shared" si="11"/>
        <v>0</v>
      </c>
      <c r="AB86" s="308">
        <f t="shared" si="16"/>
        <v>43</v>
      </c>
    </row>
    <row r="87" spans="1:28" x14ac:dyDescent="0.25">
      <c r="A87" s="308">
        <f t="shared" si="12"/>
        <v>2061</v>
      </c>
      <c r="B87" s="491" t="s">
        <v>32</v>
      </c>
      <c r="C87" s="491"/>
      <c r="D87" s="491"/>
      <c r="E87" s="3">
        <f>'VOT growth'!F61*$E$43</f>
        <v>34.163885395905609</v>
      </c>
      <c r="F87" s="3">
        <f>'VOT growth'!G61*$F$43</f>
        <v>26.534807309325021</v>
      </c>
      <c r="G87" s="3">
        <f>'VOT growth'!H61*$G$43</f>
        <v>33.58615701110876</v>
      </c>
      <c r="H87" s="3">
        <f>'VOT growth'!I61*$H$43</f>
        <v>27.425523934678473</v>
      </c>
      <c r="I87" s="308" t="str">
        <f t="shared" si="13"/>
        <v/>
      </c>
      <c r="J87" s="21">
        <f t="shared" si="14"/>
        <v>2063</v>
      </c>
      <c r="K87" s="338" t="str">
        <f>IF(J87='Vehicle and Delay Conversion'!$D$37,'Vehicle and Delay Conversion'!$D$38,"")</f>
        <v/>
      </c>
      <c r="L87" s="337">
        <f>IF(K87="",IF(MAX(K88:K$94)&gt;0,K$44+(MAX(K$45:K$100)-K$44)*($J87-$J$44)/(MAX($I$45:$I$100)-$J$44),L86),K87)</f>
        <v>31315.159038755839</v>
      </c>
      <c r="M87" s="273">
        <f t="shared" si="4"/>
        <v>1098224.4573064533</v>
      </c>
      <c r="N87" s="338" t="str">
        <f>IF($J87='Vehicle and Delay Conversion'!$D$37,'Vehicle and Delay Conversion'!$D$39,"")</f>
        <v/>
      </c>
      <c r="O87" s="337">
        <f>IF(N87="",IF(MAX(N88:N$94)&gt;0,N$44+(MAX(N$45:N$100)-N$44)*($J87-$J$44)/(MAX($I$45:$I$100)-$J$44),O86),N87)</f>
        <v>0</v>
      </c>
      <c r="P87" s="273">
        <f t="shared" si="5"/>
        <v>0</v>
      </c>
      <c r="Q87" s="338" t="str">
        <f>IF($J87='Vehicle and Delay Conversion'!$D$37,'Vehicle and Delay Conversion'!$D$40,"")</f>
        <v/>
      </c>
      <c r="R87" s="337">
        <f>IF(Q87="",IF(MAX(Q88:Q$94)&gt;0,Q$44+(MAX(Q$45:Q$100)-Q$44)*($J87-$J$44)/(MAX($I$45:$I$100)-$J$44),R86),Q87)</f>
        <v>5394.9639566473761</v>
      </c>
      <c r="S87" s="273">
        <f t="shared" si="6"/>
        <v>186002.20582724243</v>
      </c>
      <c r="T87" s="338" t="str">
        <f>IF($J87='Vehicle and Delay Conversion'!$D$37,'Vehicle and Delay Conversion'!$D$41,"")</f>
        <v/>
      </c>
      <c r="U87" s="337">
        <f>IF(T87="",IF(MAX(T88:T$94)&gt;0,T$44+(MAX(T$45:T$100)-T$44)*($J87-$J$44)/(MAX($I$45:$I$100)-$J$44),U86),T87)</f>
        <v>0</v>
      </c>
      <c r="V87" s="273">
        <f t="shared" si="7"/>
        <v>0</v>
      </c>
      <c r="W87" s="339">
        <f t="shared" si="17"/>
        <v>0.1728244614424034</v>
      </c>
      <c r="X87" s="275">
        <f t="shared" si="8"/>
        <v>189800.05037686354</v>
      </c>
      <c r="Y87" s="275">
        <f t="shared" si="9"/>
        <v>0</v>
      </c>
      <c r="Z87" s="275">
        <f t="shared" si="10"/>
        <v>32145.73104919224</v>
      </c>
      <c r="AA87" s="275">
        <f t="shared" si="11"/>
        <v>0</v>
      </c>
      <c r="AB87" s="308">
        <f t="shared" si="16"/>
        <v>44</v>
      </c>
    </row>
    <row r="88" spans="1:28" x14ac:dyDescent="0.25">
      <c r="A88" s="308">
        <f t="shared" si="12"/>
        <v>2062</v>
      </c>
      <c r="B88" s="491" t="s">
        <v>31</v>
      </c>
      <c r="C88" s="491"/>
      <c r="D88" s="491"/>
      <c r="E88" s="3">
        <f>'VOT growth'!F62*$E$43</f>
        <v>34.617154757994136</v>
      </c>
      <c r="F88" s="3">
        <f>'VOT growth'!G62*$F$43</f>
        <v>26.88685787508652</v>
      </c>
      <c r="G88" s="3">
        <f>'VOT growth'!H62*$G$43</f>
        <v>34.031761361638942</v>
      </c>
      <c r="H88" s="3">
        <f>'VOT growth'!I62*$H$43</f>
        <v>27.789392083595313</v>
      </c>
      <c r="I88" s="308" t="str">
        <f t="shared" si="13"/>
        <v/>
      </c>
      <c r="J88" s="21">
        <f t="shared" si="14"/>
        <v>2064</v>
      </c>
      <c r="K88" s="338" t="str">
        <f>IF(J88='Vehicle and Delay Conversion'!$D$37,'Vehicle and Delay Conversion'!$D$38,"")</f>
        <v/>
      </c>
      <c r="L88" s="337">
        <f>IF(K88="",IF(MAX(K89:K$94)&gt;0,K$44+(MAX(K$45:K$100)-K$44)*($J88-$J$44)/(MAX($I$45:$I$100)-$J$44),L87),K88)</f>
        <v>31315.159038755839</v>
      </c>
      <c r="M88" s="273">
        <f t="shared" si="4"/>
        <v>1111978.3273994457</v>
      </c>
      <c r="N88" s="338" t="str">
        <f>IF($J88='Vehicle and Delay Conversion'!$D$37,'Vehicle and Delay Conversion'!$D$39,"")</f>
        <v/>
      </c>
      <c r="O88" s="337">
        <f>IF(N88="",IF(MAX(N89:N$94)&gt;0,N$44+(MAX(N$45:N$100)-N$44)*($J88-$J$44)/(MAX($I$45:$I$100)-$J$44),O87),N88)</f>
        <v>0</v>
      </c>
      <c r="P88" s="273">
        <f t="shared" si="5"/>
        <v>0</v>
      </c>
      <c r="Q88" s="338" t="str">
        <f>IF($J88='Vehicle and Delay Conversion'!$D$37,'Vehicle and Delay Conversion'!$D$40,"")</f>
        <v/>
      </c>
      <c r="R88" s="337">
        <f>IF(Q88="",IF(MAX(Q89:Q$94)&gt;0,Q$44+(MAX(Q$45:Q$100)-Q$44)*($J88-$J$44)/(MAX($I$45:$I$100)-$J$44),R87),Q88)</f>
        <v>5394.9639566473761</v>
      </c>
      <c r="S88" s="273">
        <f t="shared" si="6"/>
        <v>188331.64782695204</v>
      </c>
      <c r="T88" s="338" t="str">
        <f>IF($J88='Vehicle and Delay Conversion'!$D$37,'Vehicle and Delay Conversion'!$D$41,"")</f>
        <v/>
      </c>
      <c r="U88" s="337">
        <f>IF(T88="",IF(MAX(T89:T$94)&gt;0,T$44+(MAX(T$45:T$100)-T$44)*($J88-$J$44)/(MAX($I$45:$I$100)-$J$44),U87),T88)</f>
        <v>0</v>
      </c>
      <c r="V88" s="273">
        <f t="shared" si="7"/>
        <v>0</v>
      </c>
      <c r="W88" s="339">
        <f t="shared" si="17"/>
        <v>0.16779073926446933</v>
      </c>
      <c r="X88" s="275">
        <f t="shared" si="8"/>
        <v>186579.66560042111</v>
      </c>
      <c r="Y88" s="275">
        <f t="shared" si="9"/>
        <v>0</v>
      </c>
      <c r="Z88" s="275">
        <f t="shared" si="10"/>
        <v>31600.306415779971</v>
      </c>
      <c r="AA88" s="275">
        <f t="shared" si="11"/>
        <v>0</v>
      </c>
      <c r="AB88" s="308">
        <f t="shared" si="16"/>
        <v>45</v>
      </c>
    </row>
    <row r="89" spans="1:28" x14ac:dyDescent="0.25">
      <c r="A89" s="308">
        <f t="shared" si="12"/>
        <v>2063</v>
      </c>
      <c r="B89" s="491" t="s">
        <v>30</v>
      </c>
      <c r="C89" s="491"/>
      <c r="D89" s="491"/>
      <c r="E89" s="3">
        <f>'VOT growth'!F63*$E$43</f>
        <v>35.070058432316557</v>
      </c>
      <c r="F89" s="3">
        <f>'VOT growth'!G63*$F$43</f>
        <v>27.238624414183711</v>
      </c>
      <c r="G89" s="3">
        <f>'VOT growth'!H63*$G$43</f>
        <v>34.477006208366006</v>
      </c>
      <c r="H89" s="3">
        <f>'VOT growth'!I63*$H$43</f>
        <v>28.152966671681309</v>
      </c>
      <c r="I89" s="308" t="str">
        <f t="shared" si="13"/>
        <v/>
      </c>
      <c r="J89" s="21">
        <f t="shared" si="14"/>
        <v>2065</v>
      </c>
      <c r="K89" s="338" t="str">
        <f>IF(J89='Vehicle and Delay Conversion'!$D$37,'Vehicle and Delay Conversion'!$D$38,"")</f>
        <v/>
      </c>
      <c r="L89" s="337">
        <f>IF(K89="",IF(MAX(K90:K$94)&gt;0,K$44+(MAX(K$45:K$100)-K$44)*($J89-$J$44)/(MAX($I$45:$I$100)-$J$44),L88),K89)</f>
        <v>31315.159038755839</v>
      </c>
      <c r="M89" s="273">
        <f t="shared" si="4"/>
        <v>1125732.1974924384</v>
      </c>
      <c r="N89" s="338" t="str">
        <f>IF($J89='Vehicle and Delay Conversion'!$D$37,'Vehicle and Delay Conversion'!$D$39,"")</f>
        <v/>
      </c>
      <c r="O89" s="337">
        <f>IF(N89="",IF(MAX(N90:N$94)&gt;0,N$44+(MAX(N$45:N$100)-N$44)*($J89-$J$44)/(MAX($I$45:$I$100)-$J$44),O88),N89)</f>
        <v>0</v>
      </c>
      <c r="P89" s="273">
        <f t="shared" si="5"/>
        <v>0</v>
      </c>
      <c r="Q89" s="338" t="str">
        <f>IF($J89='Vehicle and Delay Conversion'!$D$37,'Vehicle and Delay Conversion'!$D$40,"")</f>
        <v/>
      </c>
      <c r="R89" s="337">
        <f>IF(Q89="",IF(MAX(Q90:Q$94)&gt;0,Q$44+(MAX(Q$45:Q$100)-Q$44)*($J89-$J$44)/(MAX($I$45:$I$100)-$J$44),R88),Q89)</f>
        <v>5394.9639566473761</v>
      </c>
      <c r="S89" s="273">
        <f t="shared" si="6"/>
        <v>190661.08982666163</v>
      </c>
      <c r="T89" s="338" t="str">
        <f>IF($J89='Vehicle and Delay Conversion'!$D$37,'Vehicle and Delay Conversion'!$D$41,"")</f>
        <v/>
      </c>
      <c r="U89" s="337">
        <f>IF(T89="",IF(MAX(T90:T$94)&gt;0,T$44+(MAX(T$45:T$100)-T$44)*($J89-$J$44)/(MAX($I$45:$I$100)-$J$44),U88),T89)</f>
        <v>0</v>
      </c>
      <c r="V89" s="273">
        <f t="shared" si="7"/>
        <v>0</v>
      </c>
      <c r="W89" s="339">
        <f t="shared" si="17"/>
        <v>0.16290363035385372</v>
      </c>
      <c r="X89" s="275">
        <f t="shared" si="8"/>
        <v>183385.86177773963</v>
      </c>
      <c r="Y89" s="275">
        <f t="shared" si="9"/>
        <v>0</v>
      </c>
      <c r="Z89" s="275">
        <f t="shared" si="10"/>
        <v>31059.383699985385</v>
      </c>
      <c r="AA89" s="275">
        <f t="shared" si="11"/>
        <v>0</v>
      </c>
      <c r="AB89" s="308">
        <f t="shared" si="16"/>
        <v>46</v>
      </c>
    </row>
    <row r="90" spans="1:28" x14ac:dyDescent="0.25">
      <c r="A90" s="308">
        <f t="shared" si="12"/>
        <v>2064</v>
      </c>
      <c r="B90" s="491" t="s">
        <v>29</v>
      </c>
      <c r="C90" s="491"/>
      <c r="D90" s="491"/>
      <c r="E90" s="3">
        <f>'VOT growth'!F64*$E$43</f>
        <v>35.509266487302661</v>
      </c>
      <c r="F90" s="3">
        <f>'VOT growth'!G64*$F$43</f>
        <v>27.579753678982044</v>
      </c>
      <c r="G90" s="3">
        <f>'VOT growth'!H64*$G$43</f>
        <v>34.908787035527865</v>
      </c>
      <c r="H90" s="3">
        <f>'VOT growth'!I64*$H$43</f>
        <v>28.505546914962672</v>
      </c>
      <c r="I90" s="308" t="str">
        <f t="shared" si="13"/>
        <v/>
      </c>
      <c r="J90" s="21">
        <f t="shared" si="14"/>
        <v>2066</v>
      </c>
      <c r="K90" s="338" t="str">
        <f>IF(J90='Vehicle and Delay Conversion'!$D$37,'Vehicle and Delay Conversion'!$D$38,"")</f>
        <v/>
      </c>
      <c r="L90" s="337">
        <f>IF(K90="",IF(MAX(K91:K$94)&gt;0,K$44+(MAX(K$45:K$100)-K$44)*($J90-$J$44)/(MAX($I$45:$I$100)-$J$44),L89),K90)</f>
        <v>31315.159038755839</v>
      </c>
      <c r="M90" s="273">
        <f t="shared" si="4"/>
        <v>1139486.0675854308</v>
      </c>
      <c r="N90" s="338" t="str">
        <f>IF($J90='Vehicle and Delay Conversion'!$D$37,'Vehicle and Delay Conversion'!$D$39,"")</f>
        <v/>
      </c>
      <c r="O90" s="337">
        <f>IF(N90="",IF(MAX(N91:N$94)&gt;0,N$44+(MAX(N$45:N$100)-N$44)*($J90-$J$44)/(MAX($I$45:$I$100)-$J$44),O89),N90)</f>
        <v>0</v>
      </c>
      <c r="P90" s="273">
        <f t="shared" si="5"/>
        <v>0</v>
      </c>
      <c r="Q90" s="338" t="str">
        <f>IF($J90='Vehicle and Delay Conversion'!$D$37,'Vehicle and Delay Conversion'!$D$40,"")</f>
        <v/>
      </c>
      <c r="R90" s="337">
        <f>IF(Q90="",IF(MAX(Q91:Q$94)&gt;0,Q$44+(MAX(Q$45:Q$100)-Q$44)*($J90-$J$44)/(MAX($I$45:$I$100)-$J$44),R89),Q90)</f>
        <v>5394.9639566473761</v>
      </c>
      <c r="S90" s="273">
        <f t="shared" si="6"/>
        <v>192990.53182637124</v>
      </c>
      <c r="T90" s="338" t="str">
        <f>IF($J90='Vehicle and Delay Conversion'!$D$37,'Vehicle and Delay Conversion'!$D$41,"")</f>
        <v/>
      </c>
      <c r="U90" s="337">
        <f>IF(T90="",IF(MAX(T91:T$94)&gt;0,T$44+(MAX(T$45:T$100)-T$44)*($J90-$J$44)/(MAX($I$45:$I$100)-$J$44),U89),T90)</f>
        <v>0</v>
      </c>
      <c r="V90" s="273">
        <f t="shared" si="7"/>
        <v>0</v>
      </c>
      <c r="W90" s="339">
        <f t="shared" si="17"/>
        <v>0.15815886442121721</v>
      </c>
      <c r="X90" s="275">
        <f t="shared" si="8"/>
        <v>180219.82247311011</v>
      </c>
      <c r="Y90" s="275">
        <f t="shared" si="9"/>
        <v>0</v>
      </c>
      <c r="Z90" s="275">
        <f t="shared" si="10"/>
        <v>30523.163357705653</v>
      </c>
      <c r="AA90" s="275">
        <f t="shared" si="11"/>
        <v>0</v>
      </c>
      <c r="AB90" s="308">
        <f t="shared" si="16"/>
        <v>47</v>
      </c>
    </row>
    <row r="91" spans="1:28" x14ac:dyDescent="0.25">
      <c r="A91" s="308">
        <f t="shared" si="12"/>
        <v>2065</v>
      </c>
      <c r="B91" s="491" t="s">
        <v>28</v>
      </c>
      <c r="C91" s="491"/>
      <c r="D91" s="491"/>
      <c r="E91" s="3">
        <f>'VOT growth'!F65*$E$43</f>
        <v>35.948474542288771</v>
      </c>
      <c r="F91" s="3">
        <f>'VOT growth'!G65*$F$43</f>
        <v>27.920882943780377</v>
      </c>
      <c r="G91" s="3">
        <f>'VOT growth'!H65*$G$43</f>
        <v>35.340567862689717</v>
      </c>
      <c r="H91" s="3">
        <f>'VOT growth'!I65*$H$43</f>
        <v>28.858127158244034</v>
      </c>
      <c r="I91" s="308" t="str">
        <f t="shared" si="13"/>
        <v/>
      </c>
      <c r="J91" s="21">
        <f t="shared" si="14"/>
        <v>2067</v>
      </c>
      <c r="K91" s="338" t="str">
        <f>IF(J91='Vehicle and Delay Conversion'!$D$37,'Vehicle and Delay Conversion'!$D$38,"")</f>
        <v/>
      </c>
      <c r="L91" s="337">
        <f>IF(K91="",IF(MAX(K92:K$94)&gt;0,K$44+(MAX(K$45:K$100)-K$44)*($J91-$J$44)/(MAX($I$45:$I$100)-$J$44),L90),K91)</f>
        <v>31315.159038755839</v>
      </c>
      <c r="M91" s="273">
        <f t="shared" si="4"/>
        <v>1153181.2607617462</v>
      </c>
      <c r="N91" s="338" t="str">
        <f>IF($J91='Vehicle and Delay Conversion'!$D$37,'Vehicle and Delay Conversion'!$D$39,"")</f>
        <v/>
      </c>
      <c r="O91" s="337">
        <f>IF(N91="",IF(MAX(N92:N$94)&gt;0,N$44+(MAX(N$45:N$100)-N$44)*($J91-$J$44)/(MAX($I$45:$I$100)-$J$44),O90),N91)</f>
        <v>0</v>
      </c>
      <c r="P91" s="273">
        <f t="shared" si="5"/>
        <v>0</v>
      </c>
      <c r="Q91" s="338" t="str">
        <f>IF($J91='Vehicle and Delay Conversion'!$D$37,'Vehicle and Delay Conversion'!$D$40,"")</f>
        <v/>
      </c>
      <c r="R91" s="337">
        <f>IF(Q91="",IF(MAX(Q92:Q$94)&gt;0,Q$44+(MAX(Q$45:Q$100)-Q$44)*($J91-$J$44)/(MAX($I$45:$I$100)-$J$44),R90),Q91)</f>
        <v>5394.9639566473761</v>
      </c>
      <c r="S91" s="273">
        <f t="shared" si="6"/>
        <v>195310.03593418593</v>
      </c>
      <c r="T91" s="338" t="str">
        <f>IF($J91='Vehicle and Delay Conversion'!$D$37,'Vehicle and Delay Conversion'!$D$41,"")</f>
        <v/>
      </c>
      <c r="U91" s="337">
        <f>IF(T91="",IF(MAX(T92:T$94)&gt;0,T$44+(MAX(T$45:T$100)-T$44)*($J91-$J$44)/(MAX($I$45:$I$100)-$J$44),U90),T91)</f>
        <v>0</v>
      </c>
      <c r="V91" s="273">
        <f t="shared" si="7"/>
        <v>0</v>
      </c>
      <c r="W91" s="339">
        <f t="shared" si="17"/>
        <v>0.1535522955545798</v>
      </c>
      <c r="X91" s="275">
        <f t="shared" si="8"/>
        <v>177073.62978049062</v>
      </c>
      <c r="Y91" s="275">
        <f t="shared" si="9"/>
        <v>0</v>
      </c>
      <c r="Z91" s="275">
        <f t="shared" si="10"/>
        <v>29990.304362541719</v>
      </c>
      <c r="AA91" s="275">
        <f t="shared" si="11"/>
        <v>0</v>
      </c>
      <c r="AB91" s="308">
        <f t="shared" si="16"/>
        <v>48</v>
      </c>
    </row>
    <row r="92" spans="1:28" x14ac:dyDescent="0.25">
      <c r="A92" s="308">
        <f t="shared" si="12"/>
        <v>2066</v>
      </c>
      <c r="B92" s="491" t="s">
        <v>27</v>
      </c>
      <c r="C92" s="491"/>
      <c r="D92" s="491"/>
      <c r="E92" s="3">
        <f>'VOT growth'!F66*$E$43</f>
        <v>36.387682597274875</v>
      </c>
      <c r="F92" s="3">
        <f>'VOT growth'!G66*$F$43</f>
        <v>28.262012208578707</v>
      </c>
      <c r="G92" s="3">
        <f>'VOT growth'!H66*$G$43</f>
        <v>35.772348689851576</v>
      </c>
      <c r="H92" s="3">
        <f>'VOT growth'!I66*$H$43</f>
        <v>29.210707401525401</v>
      </c>
      <c r="I92" s="308" t="str">
        <f t="shared" si="13"/>
        <v/>
      </c>
      <c r="J92" s="21">
        <f t="shared" si="14"/>
        <v>2068</v>
      </c>
      <c r="K92" s="338" t="str">
        <f>IF(J92='Vehicle and Delay Conversion'!$D$37,'Vehicle and Delay Conversion'!$D$38,"")</f>
        <v/>
      </c>
      <c r="L92" s="337">
        <f>IF(K92="",IF(MAX(K93:K$94)&gt;0,K$44+(MAX(K$45:K$100)-K$44)*($J92-$J$44)/(MAX($I$45:$I$100)-$J$44),L91),K92)</f>
        <v>31315.159038755839</v>
      </c>
      <c r="M92" s="273">
        <f t="shared" si="4"/>
        <v>1166876.4539380614</v>
      </c>
      <c r="N92" s="338" t="str">
        <f>IF($J92='Vehicle and Delay Conversion'!$D$37,'Vehicle and Delay Conversion'!$D$39,"")</f>
        <v/>
      </c>
      <c r="O92" s="337">
        <f>IF(N92="",IF(MAX(N93:N$94)&gt;0,N$44+(MAX(N$45:N$100)-N$44)*($J92-$J$44)/(MAX($I$45:$I$100)-$J$44),O91),N92)</f>
        <v>0</v>
      </c>
      <c r="P92" s="273">
        <f t="shared" si="5"/>
        <v>0</v>
      </c>
      <c r="Q92" s="338" t="str">
        <f>IF($J92='Vehicle and Delay Conversion'!$D$37,'Vehicle and Delay Conversion'!$D$40,"")</f>
        <v/>
      </c>
      <c r="R92" s="337">
        <f>IF(Q92="",IF(MAX(Q93:Q$94)&gt;0,Q$44+(MAX(Q$45:Q$100)-Q$44)*($J92-$J$44)/(MAX($I$45:$I$100)-$J$44),R91),Q92)</f>
        <v>5394.9639566473761</v>
      </c>
      <c r="S92" s="273">
        <f t="shared" si="6"/>
        <v>197629.54004200059</v>
      </c>
      <c r="T92" s="338" t="str">
        <f>IF($J92='Vehicle and Delay Conversion'!$D$37,'Vehicle and Delay Conversion'!$D$41,"")</f>
        <v/>
      </c>
      <c r="U92" s="337">
        <f>IF(T92="",IF(MAX(T93:T$94)&gt;0,T$44+(MAX(T$45:T$100)-T$44)*($J92-$J$44)/(MAX($I$45:$I$100)-$J$44),U91),T92)</f>
        <v>0</v>
      </c>
      <c r="V92" s="273">
        <f t="shared" si="7"/>
        <v>0</v>
      </c>
      <c r="W92" s="339">
        <f t="shared" si="17"/>
        <v>0.14907989859667942</v>
      </c>
      <c r="X92" s="275">
        <f t="shared" si="8"/>
        <v>173957.82342793906</v>
      </c>
      <c r="Y92" s="275">
        <f t="shared" si="9"/>
        <v>0</v>
      </c>
      <c r="Z92" s="275">
        <f t="shared" si="10"/>
        <v>29462.591789169841</v>
      </c>
      <c r="AA92" s="275">
        <f t="shared" si="11"/>
        <v>0</v>
      </c>
      <c r="AB92" s="308">
        <f t="shared" si="16"/>
        <v>49</v>
      </c>
    </row>
    <row r="93" spans="1:28" x14ac:dyDescent="0.25">
      <c r="A93" s="308">
        <f t="shared" si="12"/>
        <v>2067</v>
      </c>
      <c r="B93" s="491" t="s">
        <v>26</v>
      </c>
      <c r="C93" s="491"/>
      <c r="D93" s="491"/>
      <c r="E93" s="3">
        <f>'VOT growth'!F67*$E$43</f>
        <v>36.825016897872423</v>
      </c>
      <c r="F93" s="3">
        <f>'VOT growth'!G67*$F$43</f>
        <v>28.601686143836236</v>
      </c>
      <c r="G93" s="3">
        <f>'VOT growth'!H67*$G$43</f>
        <v>36.202287448748514</v>
      </c>
      <c r="H93" s="3">
        <f>'VOT growth'!I67*$H$43</f>
        <v>29.561783462971601</v>
      </c>
      <c r="I93" s="308" t="str">
        <f t="shared" si="13"/>
        <v/>
      </c>
      <c r="J93" s="21">
        <f t="shared" si="14"/>
        <v>2069</v>
      </c>
      <c r="K93" s="338" t="str">
        <f>IF(J93='Vehicle and Delay Conversion'!$D$37,'Vehicle and Delay Conversion'!$D$38,"")</f>
        <v/>
      </c>
      <c r="L93" s="337">
        <f>IF(K93="",IF(MAX(K94:K$94)&gt;0,K$44+(MAX(K$45:K$100)-K$44)*($J93-$J$44)/(MAX($I$45:$I$100)-$J$44),L92),K93)</f>
        <v>31315.159038755839</v>
      </c>
      <c r="M93" s="273">
        <f t="shared" si="4"/>
        <v>1180571.6471143768</v>
      </c>
      <c r="N93" s="338" t="str">
        <f>IF($J93='Vehicle and Delay Conversion'!$D$37,'Vehicle and Delay Conversion'!$D$39,"")</f>
        <v/>
      </c>
      <c r="O93" s="337">
        <f>IF(N93="",IF(MAX(N94:N$94)&gt;0,N$44+(MAX(N$45:N$100)-N$44)*($J93-$J$44)/(MAX($I$45:$I$100)-$J$44),O92),N93)</f>
        <v>0</v>
      </c>
      <c r="P93" s="273">
        <f t="shared" si="5"/>
        <v>0</v>
      </c>
      <c r="Q93" s="338" t="str">
        <f>IF($J93='Vehicle and Delay Conversion'!$D$37,'Vehicle and Delay Conversion'!$D$40,"")</f>
        <v/>
      </c>
      <c r="R93" s="337">
        <f>IF(Q93="",IF(MAX(Q94:Q$94)&gt;0,Q$44+(MAX(Q$45:Q$100)-Q$44)*($J93-$J$44)/(MAX($I$45:$I$100)-$J$44),R92),Q93)</f>
        <v>5394.9639566473761</v>
      </c>
      <c r="S93" s="273">
        <f t="shared" si="6"/>
        <v>199949.04414981522</v>
      </c>
      <c r="T93" s="338" t="str">
        <f>IF($J93='Vehicle and Delay Conversion'!$D$37,'Vehicle and Delay Conversion'!$D$41,"")</f>
        <v/>
      </c>
      <c r="U93" s="337">
        <f>IF(T93="",IF(MAX(T94:T$94)&gt;0,T$44+(MAX(T$45:T$100)-T$44)*($J93-$J$44)/(MAX($I$45:$I$100)-$J$44),U92),T93)</f>
        <v>0</v>
      </c>
      <c r="V93" s="273">
        <f t="shared" si="7"/>
        <v>0</v>
      </c>
      <c r="W93" s="339">
        <f t="shared" si="17"/>
        <v>0.1447377656278441</v>
      </c>
      <c r="X93" s="275">
        <f t="shared" si="8"/>
        <v>170873.30236691853</v>
      </c>
      <c r="Y93" s="275">
        <f t="shared" si="9"/>
        <v>0</v>
      </c>
      <c r="Z93" s="275">
        <f t="shared" si="10"/>
        <v>28940.177889667408</v>
      </c>
      <c r="AA93" s="275">
        <f t="shared" si="11"/>
        <v>0</v>
      </c>
      <c r="AB93" s="308">
        <f t="shared" si="16"/>
        <v>50</v>
      </c>
    </row>
    <row r="94" spans="1:28" x14ac:dyDescent="0.25">
      <c r="A94" s="308">
        <f t="shared" si="12"/>
        <v>2068</v>
      </c>
      <c r="B94" s="491" t="s">
        <v>25</v>
      </c>
      <c r="C94" s="491"/>
      <c r="D94" s="491"/>
      <c r="E94" s="3">
        <f>'VOT growth'!F68*$E$43</f>
        <v>37.262351198469972</v>
      </c>
      <c r="F94" s="3">
        <f>'VOT growth'!G68*$F$43</f>
        <v>28.941360079093762</v>
      </c>
      <c r="G94" s="3">
        <f>'VOT growth'!H68*$G$43</f>
        <v>36.632226207645445</v>
      </c>
      <c r="H94" s="3">
        <f>'VOT growth'!I68*$H$43</f>
        <v>29.912859524417804</v>
      </c>
      <c r="I94" s="308" t="str">
        <f t="shared" si="13"/>
        <v/>
      </c>
      <c r="J94" s="21">
        <f t="shared" si="14"/>
        <v>2070</v>
      </c>
      <c r="K94" s="338" t="str">
        <f>IF(J94='Vehicle and Delay Conversion'!$D$37,'Vehicle and Delay Conversion'!$D$38,"")</f>
        <v/>
      </c>
      <c r="L94" s="337">
        <f>IF(K94="",IF(MAX(K$94:K95)&gt;0,K$44+(MAX(K$45:K$100)-K$44)*($J94-$J$44)/(MAX($I$45:$I$100)-$J$44),L93),K94)</f>
        <v>31315.159038755839</v>
      </c>
      <c r="M94" s="273">
        <f t="shared" si="4"/>
        <v>1194266.8402906919</v>
      </c>
      <c r="N94" s="338" t="str">
        <f>IF($J94='Vehicle and Delay Conversion'!$D$37,'Vehicle and Delay Conversion'!$D$39,"")</f>
        <v/>
      </c>
      <c r="O94" s="337">
        <f>IF(N94="",IF(MAX(N$94:N95)&gt;0,N$44+(MAX(N$45:N$100)-N$44)*($J94-$J$44)/(MAX($I$45:$I$100)-$J$44),O93),N94)</f>
        <v>0</v>
      </c>
      <c r="P94" s="273">
        <f t="shared" si="5"/>
        <v>0</v>
      </c>
      <c r="Q94" s="338" t="str">
        <f>IF($J94='Vehicle and Delay Conversion'!$D$37,'Vehicle and Delay Conversion'!$D$40,"")</f>
        <v/>
      </c>
      <c r="R94" s="337">
        <f>IF(Q94="",IF(MAX(Q$94:Q95)&gt;0,Q$44+(MAX(Q$45:Q$100)-Q$44)*($J94-$J$44)/(MAX($I$45:$I$100)-$J$44),R93),Q94)</f>
        <v>5394.9639566473761</v>
      </c>
      <c r="S94" s="273">
        <f t="shared" si="6"/>
        <v>202268.54825762991</v>
      </c>
      <c r="T94" s="338" t="str">
        <f>IF($J94='Vehicle and Delay Conversion'!$D$37,'Vehicle and Delay Conversion'!$D$41,"")</f>
        <v/>
      </c>
      <c r="U94" s="337">
        <f>IF(T94="",IF(MAX(T$94:T95)&gt;0,T$44+(MAX(T$45:T$100)-T$44)*($J94-$J$44)/(MAX($I$45:$I$100)-$J$44),U93),T94)</f>
        <v>0</v>
      </c>
      <c r="V94" s="273">
        <f t="shared" si="7"/>
        <v>0</v>
      </c>
      <c r="W94" s="339">
        <f t="shared" si="17"/>
        <v>0.14052210255130496</v>
      </c>
      <c r="X94" s="275">
        <f t="shared" si="8"/>
        <v>167820.88740495156</v>
      </c>
      <c r="Y94" s="275">
        <f t="shared" si="9"/>
        <v>0</v>
      </c>
      <c r="Z94" s="275">
        <f t="shared" si="10"/>
        <v>28423.201681162245</v>
      </c>
      <c r="AA94" s="275">
        <f t="shared" si="11"/>
        <v>0</v>
      </c>
      <c r="AB94" s="308">
        <f t="shared" si="16"/>
        <v>51</v>
      </c>
    </row>
    <row r="95" spans="1:28" x14ac:dyDescent="0.25">
      <c r="A95" s="308">
        <f t="shared" si="12"/>
        <v>2069</v>
      </c>
      <c r="B95" s="491" t="s">
        <v>24</v>
      </c>
      <c r="C95" s="491"/>
      <c r="D95" s="491"/>
      <c r="E95" s="3">
        <f>'VOT growth'!F69*$E$43</f>
        <v>37.69968549906752</v>
      </c>
      <c r="F95" s="3">
        <f>'VOT growth'!G69*$F$43</f>
        <v>29.281034014351288</v>
      </c>
      <c r="G95" s="3">
        <f>'VOT growth'!H69*$G$43</f>
        <v>37.062164966542376</v>
      </c>
      <c r="H95" s="3">
        <f>'VOT growth'!I69*$H$43</f>
        <v>30.263935585864004</v>
      </c>
      <c r="I95" s="308" t="str">
        <f t="shared" si="13"/>
        <v/>
      </c>
      <c r="J95" s="21">
        <f t="shared" si="14"/>
        <v>2071</v>
      </c>
      <c r="K95" s="338" t="str">
        <f>IF(J95='Vehicle and Delay Conversion'!$D$37,'Vehicle and Delay Conversion'!$D$38,"")</f>
        <v/>
      </c>
      <c r="L95" s="337">
        <f>IF(K95="",IF(MAX(K$94:K96)&gt;0,K$44+(MAX(K$45:K$100)-K$44)*($J95-$J$44)/(MAX($I$45:$I$100)-$J$44),L94),K95)</f>
        <v>31315.159038755839</v>
      </c>
      <c r="M95" s="273">
        <f t="shared" si="4"/>
        <v>1207962.0334670076</v>
      </c>
      <c r="N95" s="338" t="str">
        <f>IF($J95='Vehicle and Delay Conversion'!$D$37,'Vehicle and Delay Conversion'!$D$39,"")</f>
        <v/>
      </c>
      <c r="O95" s="337">
        <f>IF(N95="",IF(MAX(N$94:N96)&gt;0,N$44+(MAX(N$45:N$100)-N$44)*($J95-$J$44)/(MAX($I$45:$I$100)-$J$44),O94),N95)</f>
        <v>0</v>
      </c>
      <c r="P95" s="273">
        <f t="shared" si="5"/>
        <v>0</v>
      </c>
      <c r="Q95" s="338" t="str">
        <f>IF($J95='Vehicle and Delay Conversion'!$D$37,'Vehicle and Delay Conversion'!$D$40,"")</f>
        <v/>
      </c>
      <c r="R95" s="337">
        <f>IF(Q95="",IF(MAX(Q$94:Q96)&gt;0,Q$44+(MAX(Q$45:Q$100)-Q$44)*($J95-$J$44)/(MAX($I$45:$I$100)-$J$44),R94),Q95)</f>
        <v>5394.9639566473761</v>
      </c>
      <c r="S95" s="273">
        <f t="shared" si="6"/>
        <v>204588.05236544457</v>
      </c>
      <c r="T95" s="338" t="str">
        <f>IF($J95='Vehicle and Delay Conversion'!$D$37,'Vehicle and Delay Conversion'!$D$41,"")</f>
        <v/>
      </c>
      <c r="U95" s="337">
        <f>IF(T95="",IF(MAX(T$94:T96)&gt;0,T$44+(MAX(T$45:T$100)-T$44)*($J95-$J$44)/(MAX($I$45:$I$100)-$J$44),U94),T95)</f>
        <v>0</v>
      </c>
      <c r="V95" s="273">
        <f t="shared" si="7"/>
        <v>0</v>
      </c>
      <c r="W95" s="339">
        <f t="shared" si="17"/>
        <v>0.13642922577796598</v>
      </c>
      <c r="X95" s="275">
        <f t="shared" si="8"/>
        <v>164801.32499508129</v>
      </c>
      <c r="Y95" s="275">
        <f t="shared" si="9"/>
        <v>0</v>
      </c>
      <c r="Z95" s="275">
        <f t="shared" si="10"/>
        <v>27911.789587639567</v>
      </c>
      <c r="AA95" s="275">
        <f t="shared" si="11"/>
        <v>0</v>
      </c>
      <c r="AB95" s="308">
        <f t="shared" si="16"/>
        <v>52</v>
      </c>
    </row>
    <row r="96" spans="1:28" x14ac:dyDescent="0.25">
      <c r="A96" s="308">
        <f t="shared" si="12"/>
        <v>2070</v>
      </c>
      <c r="B96" s="491" t="s">
        <v>23</v>
      </c>
      <c r="C96" s="491"/>
      <c r="D96" s="491"/>
      <c r="E96" s="3">
        <f>'VOT growth'!F70*$E$43</f>
        <v>38.137019799665069</v>
      </c>
      <c r="F96" s="3">
        <f>'VOT growth'!G70*$F$43</f>
        <v>29.620707949608818</v>
      </c>
      <c r="G96" s="3">
        <f>'VOT growth'!H70*$G$43</f>
        <v>37.492103725439314</v>
      </c>
      <c r="H96" s="3">
        <f>'VOT growth'!I70*$H$43</f>
        <v>30.615011647310208</v>
      </c>
      <c r="I96" s="308" t="str">
        <f t="shared" si="13"/>
        <v/>
      </c>
      <c r="J96" s="21">
        <f t="shared" si="14"/>
        <v>2072</v>
      </c>
      <c r="K96" s="338" t="str">
        <f>IF(J96='Vehicle and Delay Conversion'!$D$37,'Vehicle and Delay Conversion'!$D$38,"")</f>
        <v/>
      </c>
      <c r="L96" s="337">
        <f>IF(K96="",IF(MAX(K$94:K97)&gt;0,K$44+(MAX(K$45:K$100)-K$44)*($J96-$J$44)/(MAX($I$45:$I$100)-$J$44),L95),K96)</f>
        <v>31315.159038755839</v>
      </c>
      <c r="M96" s="273">
        <f t="shared" si="4"/>
        <v>1221590.3045586734</v>
      </c>
      <c r="N96" s="338" t="str">
        <f>IF($J96='Vehicle and Delay Conversion'!$D$37,'Vehicle and Delay Conversion'!$D$39,"")</f>
        <v/>
      </c>
      <c r="O96" s="337">
        <f>IF(N96="",IF(MAX(N$94:N97)&gt;0,N$44+(MAX(N$45:N$100)-N$44)*($J96-$J$44)/(MAX($I$45:$I$100)-$J$44),O95),N96)</f>
        <v>0</v>
      </c>
      <c r="P96" s="273">
        <f t="shared" si="5"/>
        <v>0</v>
      </c>
      <c r="Q96" s="338" t="str">
        <f>IF($J96='Vehicle and Delay Conversion'!$D$37,'Vehicle and Delay Conversion'!$D$40,"")</f>
        <v/>
      </c>
      <c r="R96" s="337">
        <f>IF(Q96="",IF(MAX(Q$94:Q97)&gt;0,Q$44+(MAX(Q$45:Q$100)-Q$44)*($J96-$J$44)/(MAX($I$45:$I$100)-$J$44),R95),Q96)</f>
        <v>5394.9639566473761</v>
      </c>
      <c r="S96" s="273">
        <f t="shared" si="6"/>
        <v>206896.22212782511</v>
      </c>
      <c r="T96" s="338" t="str">
        <f>IF($J96='Vehicle and Delay Conversion'!$D$37,'Vehicle and Delay Conversion'!$D$41,"")</f>
        <v/>
      </c>
      <c r="U96" s="337">
        <f>IF(T96="",IF(MAX(T$94:T97)&gt;0,T$44+(MAX(T$45:T$100)-T$44)*($J96-$J$44)/(MAX($I$45:$I$100)-$J$44),U95),T96)</f>
        <v>0</v>
      </c>
      <c r="V96" s="273">
        <f t="shared" si="7"/>
        <v>0</v>
      </c>
      <c r="W96" s="339">
        <f t="shared" si="17"/>
        <v>0.13245555900773395</v>
      </c>
      <c r="X96" s="275">
        <f t="shared" si="8"/>
        <v>161806.42666874707</v>
      </c>
      <c r="Y96" s="275">
        <f t="shared" si="9"/>
        <v>0</v>
      </c>
      <c r="Z96" s="275">
        <f t="shared" si="10"/>
        <v>27404.554758529372</v>
      </c>
      <c r="AA96" s="275">
        <f t="shared" si="11"/>
        <v>0</v>
      </c>
      <c r="AB96" s="308">
        <f t="shared" si="16"/>
        <v>53</v>
      </c>
    </row>
    <row r="97" spans="1:28" x14ac:dyDescent="0.25">
      <c r="A97" s="308">
        <f t="shared" si="12"/>
        <v>2071</v>
      </c>
      <c r="B97" s="491" t="s">
        <v>22</v>
      </c>
      <c r="C97" s="491"/>
      <c r="D97" s="491"/>
      <c r="E97" s="3">
        <f>'VOT growth'!F71*$E$43</f>
        <v>38.574354100262624</v>
      </c>
      <c r="F97" s="3">
        <f>'VOT growth'!G71*$F$43</f>
        <v>29.96038188486634</v>
      </c>
      <c r="G97" s="3">
        <f>'VOT growth'!H71*$G$43</f>
        <v>37.922042484336245</v>
      </c>
      <c r="H97" s="3">
        <f>'VOT growth'!I71*$H$43</f>
        <v>30.966087708756408</v>
      </c>
      <c r="I97" s="308" t="str">
        <f t="shared" si="13"/>
        <v/>
      </c>
      <c r="J97" s="21">
        <f t="shared" si="14"/>
        <v>2073</v>
      </c>
      <c r="K97" s="338" t="str">
        <f>IF(J97='Vehicle and Delay Conversion'!$D$37,'Vehicle and Delay Conversion'!$D$38,"")</f>
        <v/>
      </c>
      <c r="L97" s="337">
        <f>IF(K97="",IF(MAX(K$94:K98)&gt;0,K$44+(MAX(K$45:K$100)-K$44)*($J97-$J$44)/(MAX($I$45:$I$100)-$J$44),L96),K97)</f>
        <v>31315.159038755839</v>
      </c>
      <c r="M97" s="273">
        <f t="shared" si="4"/>
        <v>1235218.5756503395</v>
      </c>
      <c r="N97" s="338" t="str">
        <f>IF($J97='Vehicle and Delay Conversion'!$D$37,'Vehicle and Delay Conversion'!$D$39,"")</f>
        <v/>
      </c>
      <c r="O97" s="337">
        <f>IF(N97="",IF(MAX(N$94:N98)&gt;0,N$44+(MAX(N$45:N$100)-N$44)*($J97-$J$44)/(MAX($I$45:$I$100)-$J$44),O96),N97)</f>
        <v>0</v>
      </c>
      <c r="P97" s="273">
        <f t="shared" si="5"/>
        <v>0</v>
      </c>
      <c r="Q97" s="338" t="str">
        <f>IF($J97='Vehicle and Delay Conversion'!$D$37,'Vehicle and Delay Conversion'!$D$40,"")</f>
        <v/>
      </c>
      <c r="R97" s="337">
        <f>IF(Q97="",IF(MAX(Q$94:Q98)&gt;0,Q$44+(MAX(Q$45:Q$100)-Q$44)*($J97-$J$44)/(MAX($I$45:$I$100)-$J$44),R96),Q97)</f>
        <v>5394.9639566473761</v>
      </c>
      <c r="S97" s="273">
        <f t="shared" si="6"/>
        <v>209204.39189020562</v>
      </c>
      <c r="T97" s="338" t="str">
        <f>IF($J97='Vehicle and Delay Conversion'!$D$37,'Vehicle and Delay Conversion'!$D$41,"")</f>
        <v/>
      </c>
      <c r="U97" s="337">
        <f>IF(T97="",IF(MAX(T$94:T98)&gt;0,T$44+(MAX(T$45:T$100)-T$44)*($J97-$J$44)/(MAX($I$45:$I$100)-$J$44),U96),T97)</f>
        <v>0</v>
      </c>
      <c r="V97" s="273">
        <f t="shared" si="7"/>
        <v>0</v>
      </c>
      <c r="W97" s="339">
        <f t="shared" si="17"/>
        <v>0.12859763010459607</v>
      </c>
      <c r="X97" s="275">
        <f t="shared" si="8"/>
        <v>158846.18148980837</v>
      </c>
      <c r="Y97" s="275">
        <f t="shared" si="9"/>
        <v>0</v>
      </c>
      <c r="Z97" s="275">
        <f t="shared" si="10"/>
        <v>26903.18900455362</v>
      </c>
      <c r="AA97" s="275">
        <f t="shared" si="11"/>
        <v>0</v>
      </c>
      <c r="AB97" s="308">
        <f t="shared" si="16"/>
        <v>54</v>
      </c>
    </row>
    <row r="98" spans="1:28" x14ac:dyDescent="0.25">
      <c r="A98" s="308">
        <f t="shared" si="12"/>
        <v>2072</v>
      </c>
      <c r="B98" s="491" t="s">
        <v>21</v>
      </c>
      <c r="C98" s="491"/>
      <c r="D98" s="491"/>
      <c r="E98" s="3">
        <f>'VOT growth'!F72*$E$43</f>
        <v>39.009551350092956</v>
      </c>
      <c r="F98" s="3">
        <f>'VOT growth'!G72*$F$43</f>
        <v>30.298395990462772</v>
      </c>
      <c r="G98" s="3">
        <f>'VOT growth'!H72*$G$43</f>
        <v>38.349880331063012</v>
      </c>
      <c r="H98" s="3">
        <f>'VOT growth'!I72*$H$43</f>
        <v>31.315448223616308</v>
      </c>
      <c r="I98" s="308" t="str">
        <f t="shared" si="13"/>
        <v/>
      </c>
      <c r="J98" s="21">
        <f t="shared" si="14"/>
        <v>2074</v>
      </c>
      <c r="K98" s="338" t="str">
        <f>IF(J98='Vehicle and Delay Conversion'!$D$37,'Vehicle and Delay Conversion'!$D$38,"")</f>
        <v/>
      </c>
      <c r="L98" s="337">
        <f>IF(K98="",IF(MAX(K$94:K99)&gt;0,K$44+(MAX(K$45:K$100)-K$44)*($J98-$J$44)/(MAX($I$45:$I$100)-$J$44),L97),K98)</f>
        <v>31315.159038755839</v>
      </c>
      <c r="M98" s="273">
        <f t="shared" si="4"/>
        <v>1248846.8467420053</v>
      </c>
      <c r="N98" s="338" t="str">
        <f>IF($J98='Vehicle and Delay Conversion'!$D$37,'Vehicle and Delay Conversion'!$D$39,"")</f>
        <v/>
      </c>
      <c r="O98" s="337">
        <f>IF(N98="",IF(MAX(N$94:N99)&gt;0,N$44+(MAX(N$45:N$100)-N$44)*($J98-$J$44)/(MAX($I$45:$I$100)-$J$44),O97),N98)</f>
        <v>0</v>
      </c>
      <c r="P98" s="273">
        <f t="shared" si="5"/>
        <v>0</v>
      </c>
      <c r="Q98" s="338" t="str">
        <f>IF($J98='Vehicle and Delay Conversion'!$D$37,'Vehicle and Delay Conversion'!$D$40,"")</f>
        <v/>
      </c>
      <c r="R98" s="337">
        <f>IF(Q98="",IF(MAX(Q$94:Q99)&gt;0,Q$44+(MAX(Q$45:Q$100)-Q$44)*($J98-$J$44)/(MAX($I$45:$I$100)-$J$44),R97),Q98)</f>
        <v>5394.9639566473761</v>
      </c>
      <c r="S98" s="273">
        <f t="shared" si="6"/>
        <v>211512.56165258621</v>
      </c>
      <c r="T98" s="338" t="str">
        <f>IF($J98='Vehicle and Delay Conversion'!$D$37,'Vehicle and Delay Conversion'!$D$41,"")</f>
        <v/>
      </c>
      <c r="U98" s="337">
        <f>IF(T98="",IF(MAX(T$94:T99)&gt;0,T$44+(MAX(T$45:T$100)-T$44)*($J98-$J$44)/(MAX($I$45:$I$100)-$J$44),U97),T98)</f>
        <v>0</v>
      </c>
      <c r="V98" s="273">
        <f t="shared" si="7"/>
        <v>0</v>
      </c>
      <c r="W98" s="339">
        <f t="shared" si="17"/>
        <v>0.12485206806271464</v>
      </c>
      <c r="X98" s="275">
        <f t="shared" si="8"/>
        <v>155921.11150933939</v>
      </c>
      <c r="Y98" s="275">
        <f t="shared" si="9"/>
        <v>0</v>
      </c>
      <c r="Z98" s="275">
        <f t="shared" si="10"/>
        <v>26407.780743567819</v>
      </c>
      <c r="AA98" s="275">
        <f t="shared" si="11"/>
        <v>0</v>
      </c>
      <c r="AB98" s="308">
        <f t="shared" si="16"/>
        <v>55</v>
      </c>
    </row>
    <row r="99" spans="1:28" s="308" customFormat="1" x14ac:dyDescent="0.25">
      <c r="A99" s="308">
        <f t="shared" si="12"/>
        <v>2073</v>
      </c>
      <c r="B99" s="491" t="s">
        <v>20</v>
      </c>
      <c r="C99" s="491"/>
      <c r="D99" s="491"/>
      <c r="E99" s="3">
        <f>'VOT growth'!F73*$E$43</f>
        <v>39.444748599923287</v>
      </c>
      <c r="F99" s="3">
        <f>'VOT growth'!G73*$F$43</f>
        <v>30.636410096059205</v>
      </c>
      <c r="G99" s="3">
        <f>'VOT growth'!H73*$G$43</f>
        <v>38.777718177789779</v>
      </c>
      <c r="H99" s="3">
        <f>'VOT growth'!I73*$H$43</f>
        <v>31.6648087384762</v>
      </c>
      <c r="I99" s="308" t="str">
        <f t="shared" si="13"/>
        <v/>
      </c>
      <c r="J99" s="308">
        <f t="shared" si="14"/>
        <v>2075</v>
      </c>
      <c r="K99" s="338" t="str">
        <f>IF(J99='Vehicle and Delay Conversion'!$D$37,'Vehicle and Delay Conversion'!$D$38,"")</f>
        <v/>
      </c>
      <c r="L99" s="337">
        <f>IF(K99="",IF(MAX(K$94:K100)&gt;0,K$44+(MAX(K$45:K$100)-K$44)*($J99-$J$44)/(MAX($I$45:$I$100)-$J$44),L98),K99)</f>
        <v>31315.159038755839</v>
      </c>
      <c r="M99" s="273">
        <f t="shared" si="4"/>
        <v>1262475.1178336716</v>
      </c>
      <c r="N99" s="338" t="str">
        <f>IF($J99='Vehicle and Delay Conversion'!$D$37,'Vehicle and Delay Conversion'!$D$39,"")</f>
        <v/>
      </c>
      <c r="O99" s="337">
        <f>IF(N99="",IF(MAX(N$94:N100)&gt;0,N$44+(MAX(N$45:N$100)-N$44)*($J99-$J$44)/(MAX($I$45:$I$100)-$J$44),O98),N99)</f>
        <v>0</v>
      </c>
      <c r="P99" s="273">
        <f t="shared" si="5"/>
        <v>0</v>
      </c>
      <c r="Q99" s="338" t="str">
        <f>IF($J99='Vehicle and Delay Conversion'!$D$37,'Vehicle and Delay Conversion'!$D$40,"")</f>
        <v/>
      </c>
      <c r="R99" s="337">
        <f>IF(Q99="",IF(MAX(Q$94:Q100)&gt;0,Q$44+(MAX(Q$45:Q$100)-Q$44)*($J99-$J$44)/(MAX($I$45:$I$100)-$J$44),R98),Q99)</f>
        <v>5394.9639566473761</v>
      </c>
      <c r="S99" s="273">
        <f t="shared" si="6"/>
        <v>213820.73141496669</v>
      </c>
      <c r="T99" s="338" t="str">
        <f>IF($J99='Vehicle and Delay Conversion'!$D$37,'Vehicle and Delay Conversion'!$D$41,"")</f>
        <v/>
      </c>
      <c r="U99" s="337">
        <f>IF(T99="",IF(MAX(T$94:T100)&gt;0,T$44+(MAX(T$45:T$100)-T$44)*($J99-$J$44)/(MAX($I$45:$I$100)-$J$44),U98),T99)</f>
        <v>0</v>
      </c>
      <c r="V99" s="273">
        <f t="shared" si="7"/>
        <v>0</v>
      </c>
      <c r="W99" s="339">
        <f t="shared" si="17"/>
        <v>0.121215600060888</v>
      </c>
      <c r="X99" s="275">
        <f t="shared" si="8"/>
        <v>153031.67897014879</v>
      </c>
      <c r="Y99" s="275">
        <f t="shared" si="9"/>
        <v>0</v>
      </c>
      <c r="Z99" s="275">
        <f t="shared" si="10"/>
        <v>25918.408263923153</v>
      </c>
      <c r="AA99" s="275">
        <f t="shared" si="11"/>
        <v>0</v>
      </c>
      <c r="AB99" s="308">
        <f t="shared" si="16"/>
        <v>56</v>
      </c>
    </row>
    <row r="100" spans="1:28" s="308" customFormat="1" x14ac:dyDescent="0.25">
      <c r="A100" s="308">
        <f t="shared" si="12"/>
        <v>2074</v>
      </c>
      <c r="B100" s="491" t="s">
        <v>19</v>
      </c>
      <c r="C100" s="491"/>
      <c r="D100" s="491"/>
      <c r="E100" s="3">
        <f>'VOT growth'!F74*$E$43</f>
        <v>39.879945849753618</v>
      </c>
      <c r="F100" s="3">
        <f>'VOT growth'!G74*$F$43</f>
        <v>30.974424201655644</v>
      </c>
      <c r="G100" s="3">
        <f>'VOT growth'!H74*$G$43</f>
        <v>39.205556024516554</v>
      </c>
      <c r="H100" s="3">
        <f>'VOT growth'!I74*$H$43</f>
        <v>32.014169253336092</v>
      </c>
      <c r="I100" s="308" t="str">
        <f t="shared" si="13"/>
        <v/>
      </c>
      <c r="J100" s="308">
        <f t="shared" si="14"/>
        <v>2076</v>
      </c>
      <c r="K100" s="338" t="str">
        <f>IF(J100='Vehicle and Delay Conversion'!$D$37,'Vehicle and Delay Conversion'!$D$38,"")</f>
        <v/>
      </c>
      <c r="L100" s="337">
        <f>IF(K100="",IF(MAX(K$94:K101)&gt;0,K$44+(MAX(K$45:K$100)-K$44)*($J100-$J$44)/(MAX($I$45:$I$100)-$J$44),L99),K100)</f>
        <v>31315.159038755839</v>
      </c>
      <c r="M100" s="273">
        <f t="shared" si="4"/>
        <v>1276103.3889253377</v>
      </c>
      <c r="N100" s="338" t="str">
        <f>IF($J100='Vehicle and Delay Conversion'!$D$37,'Vehicle and Delay Conversion'!$D$39,"")</f>
        <v/>
      </c>
      <c r="O100" s="337">
        <f>IF(N100="",IF(MAX(N$94:N101)&gt;0,N$44+(MAX(N$45:N$100)-N$44)*($J100-$J$44)/(MAX($I$45:$I$100)-$J$44),O99),N100)</f>
        <v>0</v>
      </c>
      <c r="P100" s="273">
        <f t="shared" si="5"/>
        <v>0</v>
      </c>
      <c r="Q100" s="338" t="str">
        <f>IF($J100='Vehicle and Delay Conversion'!$D$37,'Vehicle and Delay Conversion'!$D$40,"")</f>
        <v/>
      </c>
      <c r="R100" s="337">
        <f>IF(Q100="",IF(MAX(Q$94:Q101)&gt;0,Q$44+(MAX(Q$45:Q$100)-Q$44)*($J100-$J$44)/(MAX($I$45:$I$100)-$J$44),R99),Q100)</f>
        <v>5394.9639566473761</v>
      </c>
      <c r="S100" s="273">
        <f t="shared" si="6"/>
        <v>216128.90117734723</v>
      </c>
      <c r="T100" s="338" t="str">
        <f>IF($J100='Vehicle and Delay Conversion'!$D$37,'Vehicle and Delay Conversion'!$D$41,"")</f>
        <v/>
      </c>
      <c r="U100" s="337">
        <f>IF(T100="",IF(MAX(T$94:T101)&gt;0,T$44+(MAX(T$45:T$100)-T$44)*($J100-$J$44)/(MAX($I$45:$I$100)-$J$44),U99),T100)</f>
        <v>0</v>
      </c>
      <c r="V100" s="273">
        <f t="shared" si="7"/>
        <v>0</v>
      </c>
      <c r="W100" s="339">
        <f t="shared" si="17"/>
        <v>0.11768504860280388</v>
      </c>
      <c r="X100" s="275">
        <f t="shared" si="8"/>
        <v>150178.2893478811</v>
      </c>
      <c r="Y100" s="275">
        <f t="shared" si="9"/>
        <v>0</v>
      </c>
      <c r="Z100" s="275">
        <f t="shared" si="10"/>
        <v>25435.140239526703</v>
      </c>
      <c r="AA100" s="275">
        <f t="shared" si="11"/>
        <v>0</v>
      </c>
      <c r="AB100" s="308">
        <f t="shared" si="16"/>
        <v>57</v>
      </c>
    </row>
    <row r="101" spans="1:28" s="308" customFormat="1" x14ac:dyDescent="0.25">
      <c r="A101" s="308">
        <f t="shared" si="12"/>
        <v>2075</v>
      </c>
      <c r="B101" s="491" t="s">
        <v>215</v>
      </c>
      <c r="C101" s="491"/>
      <c r="D101" s="491"/>
      <c r="E101" s="3">
        <f>'VOT growth'!F75*$E$43</f>
        <v>40.315143099583956</v>
      </c>
      <c r="F101" s="3">
        <f>'VOT growth'!G75*$F$43</f>
        <v>31.312438307252076</v>
      </c>
      <c r="G101" s="3">
        <f>'VOT growth'!H75*$G$43</f>
        <v>39.633393871243314</v>
      </c>
      <c r="H101" s="3">
        <f>'VOT growth'!I75*$H$43</f>
        <v>32.363529768195988</v>
      </c>
      <c r="J101" s="308">
        <f t="shared" si="14"/>
        <v>2077</v>
      </c>
      <c r="K101" s="338" t="str">
        <f>IF(J101='Vehicle and Delay Conversion'!$D$37,'Vehicle and Delay Conversion'!$D$38,"")</f>
        <v/>
      </c>
      <c r="L101" s="337">
        <f>IF(K101="",IF(MAX(K$94:K102)&gt;0,K$44+(MAX(K$45:K$100)-K$44)*($J101-$J$44)/(MAX($I$45:$I$100)-$J$44),L100),K101)</f>
        <v>31315.159038755839</v>
      </c>
      <c r="M101" s="273">
        <f t="shared" si="4"/>
        <v>1289719.1057620794</v>
      </c>
      <c r="N101" s="338" t="str">
        <f>IF($J101='Vehicle and Delay Conversion'!$D$37,'Vehicle and Delay Conversion'!$D$39,"")</f>
        <v/>
      </c>
      <c r="O101" s="337">
        <f>IF(N101="",IF(MAX(N$94:N102)&gt;0,N$44+(MAX(N$45:N$100)-N$44)*($J101-$J$44)/(MAX($I$45:$I$100)-$J$44),O100),N101)</f>
        <v>0</v>
      </c>
      <c r="P101" s="273">
        <f t="shared" si="5"/>
        <v>0</v>
      </c>
      <c r="Q101" s="338" t="str">
        <f>IF($J101='Vehicle and Delay Conversion'!$D$37,'Vehicle and Delay Conversion'!$D$40,"")</f>
        <v/>
      </c>
      <c r="R101" s="337">
        <f>IF(Q101="",IF(MAX(Q$94:Q102)&gt;0,Q$44+(MAX(Q$45:Q$100)-Q$44)*($J101-$J$44)/(MAX($I$45:$I$100)-$J$44),R100),Q101)</f>
        <v>5394.9639566473761</v>
      </c>
      <c r="S101" s="273">
        <f t="shared" si="6"/>
        <v>218434.94467210287</v>
      </c>
      <c r="T101" s="338" t="str">
        <f>IF($J101='Vehicle and Delay Conversion'!$D$37,'Vehicle and Delay Conversion'!$D$41,"")</f>
        <v/>
      </c>
      <c r="U101" s="337">
        <f>IF(T101="",IF(MAX(T$94:T102)&gt;0,T$44+(MAX(T$45:T$100)-T$44)*($J101-$J$44)/(MAX($I$45:$I$100)-$J$44),U100),T101)</f>
        <v>0</v>
      </c>
      <c r="V101" s="273">
        <f t="shared" si="7"/>
        <v>0</v>
      </c>
      <c r="W101" s="339">
        <f t="shared" ref="W101:W103" si="18">W100/(1+0.03)</f>
        <v>0.11425732874058629</v>
      </c>
      <c r="X101" s="275">
        <f t="shared" si="8"/>
        <v>147359.85985007288</v>
      </c>
      <c r="Y101" s="275">
        <f t="shared" si="9"/>
        <v>0</v>
      </c>
      <c r="Z101" s="275">
        <f t="shared" si="10"/>
        <v>24957.793281832237</v>
      </c>
      <c r="AA101" s="275">
        <f t="shared" si="11"/>
        <v>0</v>
      </c>
      <c r="AB101" s="308">
        <f t="shared" si="16"/>
        <v>58</v>
      </c>
    </row>
    <row r="102" spans="1:28" s="308" customFormat="1" x14ac:dyDescent="0.25">
      <c r="A102" s="308">
        <f t="shared" si="12"/>
        <v>2076</v>
      </c>
      <c r="B102" s="491" t="s">
        <v>216</v>
      </c>
      <c r="C102" s="491"/>
      <c r="D102" s="491"/>
      <c r="E102" s="3">
        <f>'VOT growth'!F76*$E$43</f>
        <v>40.750340349414287</v>
      </c>
      <c r="F102" s="3">
        <f>'VOT growth'!G76*$F$43</f>
        <v>31.650452412848509</v>
      </c>
      <c r="G102" s="3">
        <f>'VOT growth'!H76*$G$43</f>
        <v>40.061231717970081</v>
      </c>
      <c r="H102" s="3">
        <f>'VOT growth'!I76*$H$43</f>
        <v>32.712890283055884</v>
      </c>
      <c r="J102" s="308">
        <f t="shared" si="14"/>
        <v>2078</v>
      </c>
      <c r="K102" s="338" t="str">
        <f>IF(J102='Vehicle and Delay Conversion'!$D$37,'Vehicle and Delay Conversion'!$D$38,"")</f>
        <v/>
      </c>
      <c r="L102" s="337">
        <f>IF(K102="",IF(MAX(K$94:K103)&gt;0,K$44+(MAX(K$45:K$100)-K$44)*($J102-$J$44)/(MAX($I$45:$I$100)-$J$44),L101),K102)</f>
        <v>31315.159038755839</v>
      </c>
      <c r="M102" s="273">
        <f t="shared" si="4"/>
        <v>1303334.822598821</v>
      </c>
      <c r="N102" s="338" t="str">
        <f>IF($J102='Vehicle and Delay Conversion'!$D$37,'Vehicle and Delay Conversion'!$D$39,"")</f>
        <v/>
      </c>
      <c r="O102" s="337">
        <f>IF(N102="",IF(MAX(N$94:N103)&gt;0,N$44+(MAX(N$45:N$100)-N$44)*($J102-$J$44)/(MAX($I$45:$I$100)-$J$44),O101),N102)</f>
        <v>0</v>
      </c>
      <c r="P102" s="273">
        <f t="shared" si="5"/>
        <v>0</v>
      </c>
      <c r="Q102" s="338" t="str">
        <f>IF($J102='Vehicle and Delay Conversion'!$D$37,'Vehicle and Delay Conversion'!$D$40,"")</f>
        <v/>
      </c>
      <c r="R102" s="337">
        <f>IF(Q102="",IF(MAX(Q$94:Q103)&gt;0,Q$44+(MAX(Q$45:Q$100)-Q$44)*($J102-$J$44)/(MAX($I$45:$I$100)-$J$44),R101),Q102)</f>
        <v>5394.9639566473761</v>
      </c>
      <c r="S102" s="273">
        <f t="shared" si="6"/>
        <v>220740.9881668585</v>
      </c>
      <c r="T102" s="338" t="str">
        <f>IF($J102='Vehicle and Delay Conversion'!$D$37,'Vehicle and Delay Conversion'!$D$41,"")</f>
        <v/>
      </c>
      <c r="U102" s="337">
        <f>IF(T102="",IF(MAX(T$94:T103)&gt;0,T$44+(MAX(T$45:T$100)-T$44)*($J102-$J$44)/(MAX($I$45:$I$100)-$J$44),U101),T102)</f>
        <v>0</v>
      </c>
      <c r="V102" s="273">
        <f t="shared" si="7"/>
        <v>0</v>
      </c>
      <c r="W102" s="339">
        <f t="shared" si="18"/>
        <v>0.11092944537920998</v>
      </c>
      <c r="X102" s="275">
        <f t="shared" si="8"/>
        <v>144578.20901429825</v>
      </c>
      <c r="Y102" s="275">
        <f t="shared" si="9"/>
        <v>0</v>
      </c>
      <c r="Z102" s="275">
        <f t="shared" si="10"/>
        <v>24486.675389808366</v>
      </c>
      <c r="AA102" s="275">
        <f t="shared" si="11"/>
        <v>0</v>
      </c>
      <c r="AB102" s="308">
        <f t="shared" si="16"/>
        <v>59</v>
      </c>
    </row>
    <row r="103" spans="1:28" s="308" customFormat="1" x14ac:dyDescent="0.25">
      <c r="A103" s="308">
        <f t="shared" si="12"/>
        <v>2077</v>
      </c>
      <c r="B103" s="491" t="s">
        <v>217</v>
      </c>
      <c r="C103" s="491"/>
      <c r="D103" s="491"/>
      <c r="E103" s="3">
        <f>'VOT growth'!F77*$E$43</f>
        <v>41.185136698999827</v>
      </c>
      <c r="F103" s="3">
        <f>'VOT growth'!G77*$F$43</f>
        <v>31.988155142539583</v>
      </c>
      <c r="G103" s="3">
        <f>'VOT growth'!H77*$G$43</f>
        <v>40.488675443875657</v>
      </c>
      <c r="H103" s="3">
        <f>'VOT growth'!I77*$H$43</f>
        <v>33.061928969788461</v>
      </c>
      <c r="J103" s="308">
        <f t="shared" si="14"/>
        <v>2079</v>
      </c>
      <c r="K103" s="338" t="str">
        <f>IF(J103='Vehicle and Delay Conversion'!$D$37,'Vehicle and Delay Conversion'!$D$38,"")</f>
        <v/>
      </c>
      <c r="L103" s="337">
        <f>IF(K103="",IF(MAX(K$94:K104)&gt;0,K$44+(MAX(K$45:K$100)-K$44)*($J103-$J$44)/(MAX($I$45:$I$100)-$J$44),L102),K103)</f>
        <v>31315.159038755839</v>
      </c>
      <c r="M103" s="273">
        <f t="shared" si="4"/>
        <v>1316950.5394355627</v>
      </c>
      <c r="N103" s="338" t="str">
        <f>IF($J103='Vehicle and Delay Conversion'!$D$37,'Vehicle and Delay Conversion'!$D$39,"")</f>
        <v/>
      </c>
      <c r="O103" s="337">
        <f>IF(N103="",IF(MAX(N$94:N104)&gt;0,N$44+(MAX(N$45:N$100)-N$44)*($J103-$J$44)/(MAX($I$45:$I$100)-$J$44),O102),N103)</f>
        <v>0</v>
      </c>
      <c r="P103" s="273">
        <f t="shared" si="5"/>
        <v>0</v>
      </c>
      <c r="Q103" s="338" t="str">
        <f>IF($J103='Vehicle and Delay Conversion'!$D$37,'Vehicle and Delay Conversion'!$D$40,"")</f>
        <v/>
      </c>
      <c r="R103" s="337">
        <f>IF(Q103="",IF(MAX(Q$94:Q104)&gt;0,Q$44+(MAX(Q$45:Q$100)-Q$44)*($J103-$J$44)/(MAX($I$45:$I$100)-$J$44),R102),Q103)</f>
        <v>5394.9639566473761</v>
      </c>
      <c r="S103" s="273">
        <f t="shared" si="6"/>
        <v>223047.03166161416</v>
      </c>
      <c r="T103" s="338" t="str">
        <f>IF($J103='Vehicle and Delay Conversion'!$D$37,'Vehicle and Delay Conversion'!$D$41,"")</f>
        <v/>
      </c>
      <c r="U103" s="337">
        <f>IF(T103="",IF(MAX(T$94:T104)&gt;0,T$44+(MAX(T$45:T$100)-T$44)*($J103-$J$44)/(MAX($I$45:$I$100)-$J$44),U102),T103)</f>
        <v>0</v>
      </c>
      <c r="V103" s="273">
        <f t="shared" si="7"/>
        <v>0</v>
      </c>
      <c r="W103" s="339">
        <f t="shared" si="18"/>
        <v>0.10769849065942716</v>
      </c>
      <c r="X103" s="275">
        <f t="shared" si="8"/>
        <v>141833.58537032851</v>
      </c>
      <c r="Y103" s="275">
        <f t="shared" si="9"/>
        <v>0</v>
      </c>
      <c r="Z103" s="275">
        <f t="shared" si="10"/>
        <v>24021.828656021306</v>
      </c>
      <c r="AA103" s="275">
        <f t="shared" si="11"/>
        <v>0</v>
      </c>
      <c r="AB103" s="308">
        <f t="shared" si="16"/>
        <v>60</v>
      </c>
    </row>
    <row r="104" spans="1:28" s="308" customFormat="1" x14ac:dyDescent="0.25">
      <c r="A104" s="308">
        <f t="shared" si="12"/>
        <v>2078</v>
      </c>
      <c r="B104" s="491" t="s">
        <v>218</v>
      </c>
      <c r="C104" s="491"/>
      <c r="D104" s="491"/>
      <c r="E104" s="3">
        <f>'VOT growth'!F78*$E$43</f>
        <v>41.619933048585374</v>
      </c>
      <c r="F104" s="3">
        <f>'VOT growth'!G78*$F$43</f>
        <v>32.325857872230657</v>
      </c>
      <c r="G104" s="3">
        <f>'VOT growth'!H78*$G$43</f>
        <v>40.916119169781233</v>
      </c>
      <c r="H104" s="3">
        <f>'VOT growth'!I78*$H$43</f>
        <v>33.410967656521038</v>
      </c>
      <c r="V104" s="20"/>
    </row>
    <row r="105" spans="1:28" x14ac:dyDescent="0.25">
      <c r="A105" s="308">
        <f t="shared" si="12"/>
        <v>2079</v>
      </c>
      <c r="B105" s="491" t="s">
        <v>219</v>
      </c>
      <c r="C105" s="491"/>
      <c r="D105" s="491"/>
      <c r="E105" s="3">
        <f>'VOT growth'!F79*$E$43</f>
        <v>42.054729398170913</v>
      </c>
      <c r="F105" s="3">
        <f>'VOT growth'!G79*$F$43</f>
        <v>32.663560601921724</v>
      </c>
      <c r="G105" s="3">
        <f>'VOT growth'!H79*$G$43</f>
        <v>41.343562895686809</v>
      </c>
      <c r="H105" s="3">
        <f>'VOT growth'!I79*$H$43</f>
        <v>33.760006343253622</v>
      </c>
      <c r="V105" s="20"/>
    </row>
    <row r="106" spans="1:28" x14ac:dyDescent="0.25">
      <c r="A106" s="308">
        <f t="shared" si="12"/>
        <v>2080</v>
      </c>
      <c r="B106" s="491" t="s">
        <v>220</v>
      </c>
      <c r="C106" s="491"/>
      <c r="D106" s="491"/>
      <c r="E106" s="3">
        <f>'VOT growth'!F80*$E$43</f>
        <v>42.48952574775646</v>
      </c>
      <c r="F106" s="3">
        <f>'VOT growth'!G80*$F$43</f>
        <v>33.00126333161279</v>
      </c>
      <c r="G106" s="3">
        <f>'VOT growth'!H80*$G$43</f>
        <v>41.771006621592377</v>
      </c>
      <c r="H106" s="3">
        <f>'VOT growth'!I80*$H$43</f>
        <v>34.109045029986191</v>
      </c>
      <c r="W106" s="280" t="s">
        <v>18</v>
      </c>
      <c r="X106" s="4">
        <f>SUM(X44:X103)</f>
        <v>14788219.634586845</v>
      </c>
      <c r="Y106" s="4">
        <f>SUM(Y44:Y103)</f>
        <v>0</v>
      </c>
      <c r="Z106" s="4">
        <f>SUM(Z44:Z103)</f>
        <v>2504625.9478114489</v>
      </c>
      <c r="AA106" s="4">
        <f>SUM(AA44:AA103)</f>
        <v>0</v>
      </c>
    </row>
    <row r="107" spans="1:28" x14ac:dyDescent="0.25">
      <c r="A107" s="308">
        <f t="shared" si="12"/>
        <v>2081</v>
      </c>
      <c r="B107" s="491" t="s">
        <v>221</v>
      </c>
      <c r="C107" s="491"/>
      <c r="D107" s="491"/>
      <c r="E107" s="3">
        <f>'VOT growth'!F81*$E$43</f>
        <v>42.924322097341999</v>
      </c>
      <c r="F107" s="3">
        <f>'VOT growth'!G81*$F$43</f>
        <v>33.338966061303864</v>
      </c>
      <c r="G107" s="3">
        <f>'VOT growth'!H81*$G$43</f>
        <v>42.198450347497953</v>
      </c>
      <c r="H107" s="3">
        <f>'VOT growth'!I81*$H$43</f>
        <v>34.458083716718768</v>
      </c>
      <c r="V107" s="20"/>
    </row>
    <row r="108" spans="1:28" x14ac:dyDescent="0.25">
      <c r="A108" s="308">
        <f t="shared" si="12"/>
        <v>2082</v>
      </c>
      <c r="B108" s="491" t="s">
        <v>222</v>
      </c>
      <c r="C108" s="491"/>
      <c r="D108" s="491"/>
      <c r="E108" s="3">
        <f>'VOT growth'!F82*$E$43</f>
        <v>43.360303742019454</v>
      </c>
      <c r="F108" s="3">
        <f>'VOT growth'!G82*$F$43</f>
        <v>33.677589399892447</v>
      </c>
      <c r="G108" s="3">
        <f>'VOT growth'!H82*$G$43</f>
        <v>42.627059324562772</v>
      </c>
      <c r="H108" s="3">
        <f>'VOT growth'!I82*$H$43</f>
        <v>34.808073915216944</v>
      </c>
    </row>
    <row r="109" spans="1:28" x14ac:dyDescent="0.25">
      <c r="A109" s="308">
        <f t="shared" si="12"/>
        <v>2083</v>
      </c>
      <c r="B109" s="491" t="s">
        <v>223</v>
      </c>
      <c r="C109" s="491"/>
      <c r="D109" s="491"/>
      <c r="E109" s="3">
        <f>'VOT growth'!F83*$E$43</f>
        <v>43.796285386696916</v>
      </c>
      <c r="F109" s="3">
        <f>'VOT growth'!G83*$F$43</f>
        <v>34.016212738481016</v>
      </c>
      <c r="G109" s="3">
        <f>'VOT growth'!H83*$G$43</f>
        <v>43.055668301627577</v>
      </c>
      <c r="H109" s="3">
        <f>'VOT growth'!I83*$H$43</f>
        <v>35.158064113715128</v>
      </c>
    </row>
    <row r="110" spans="1:28" x14ac:dyDescent="0.25">
      <c r="A110" s="308">
        <f t="shared" ref="A110:A111" si="19">A109+1</f>
        <v>2084</v>
      </c>
      <c r="B110" s="491" t="s">
        <v>224</v>
      </c>
      <c r="C110" s="491"/>
      <c r="D110" s="491"/>
      <c r="E110" s="3">
        <f>'VOT growth'!F84*$E$43</f>
        <v>44.232267031374377</v>
      </c>
      <c r="F110" s="3">
        <f>'VOT growth'!G84*$F$43</f>
        <v>34.354836077069585</v>
      </c>
      <c r="G110" s="3">
        <f>'VOT growth'!H84*$G$43</f>
        <v>43.484277278692389</v>
      </c>
      <c r="H110" s="3">
        <f>'VOT growth'!I84*$H$43</f>
        <v>35.508054312213311</v>
      </c>
    </row>
    <row r="111" spans="1:28" x14ac:dyDescent="0.25">
      <c r="A111" s="308">
        <f t="shared" si="19"/>
        <v>2085</v>
      </c>
      <c r="B111" s="491" t="s">
        <v>225</v>
      </c>
      <c r="C111" s="491"/>
      <c r="D111" s="491"/>
      <c r="E111" s="3">
        <f>'VOT growth'!F85*$E$43</f>
        <v>44.668248676051824</v>
      </c>
      <c r="F111" s="3">
        <f>'VOT growth'!G85*$F$43</f>
        <v>34.693459415658168</v>
      </c>
      <c r="G111" s="3">
        <f>'VOT growth'!H85*$G$43</f>
        <v>43.912886255757208</v>
      </c>
      <c r="H111" s="3">
        <f>'VOT growth'!I85*$H$43</f>
        <v>35.858044510711487</v>
      </c>
    </row>
  </sheetData>
  <mergeCells count="93">
    <mergeCell ref="B107:D107"/>
    <mergeCell ref="B108:D108"/>
    <mergeCell ref="B109:D109"/>
    <mergeCell ref="B110:D110"/>
    <mergeCell ref="B111:D111"/>
    <mergeCell ref="B102:D102"/>
    <mergeCell ref="B103:D103"/>
    <mergeCell ref="B104:D104"/>
    <mergeCell ref="B105:D105"/>
    <mergeCell ref="B106:D106"/>
    <mergeCell ref="X42:AA42"/>
    <mergeCell ref="B1:B2"/>
    <mergeCell ref="K43:L43"/>
    <mergeCell ref="N43:O43"/>
    <mergeCell ref="Q43:R43"/>
    <mergeCell ref="T43:U43"/>
    <mergeCell ref="K42:M42"/>
    <mergeCell ref="N42:P42"/>
    <mergeCell ref="Q42:S42"/>
    <mergeCell ref="T42:V42"/>
    <mergeCell ref="J42:J43"/>
    <mergeCell ref="C1:F1"/>
    <mergeCell ref="G3:I6"/>
    <mergeCell ref="G9:I11"/>
    <mergeCell ref="B83:D83"/>
    <mergeCell ref="B84:D84"/>
    <mergeCell ref="B69:D69"/>
    <mergeCell ref="B58:D58"/>
    <mergeCell ref="I22:K23"/>
    <mergeCell ref="I29:K30"/>
    <mergeCell ref="I36:K37"/>
    <mergeCell ref="B59:D59"/>
    <mergeCell ref="B60:D60"/>
    <mergeCell ref="B61:D61"/>
    <mergeCell ref="B62:D62"/>
    <mergeCell ref="B63:D63"/>
    <mergeCell ref="B64:D64"/>
    <mergeCell ref="B76:D76"/>
    <mergeCell ref="B77:D77"/>
    <mergeCell ref="B78:D78"/>
    <mergeCell ref="B94:D94"/>
    <mergeCell ref="B95:D95"/>
    <mergeCell ref="B96:D96"/>
    <mergeCell ref="B97:D97"/>
    <mergeCell ref="B88:D88"/>
    <mergeCell ref="B89:D89"/>
    <mergeCell ref="B90:D90"/>
    <mergeCell ref="B91:D91"/>
    <mergeCell ref="B92:D92"/>
    <mergeCell ref="B101:D101"/>
    <mergeCell ref="C13:H13"/>
    <mergeCell ref="B98:D98"/>
    <mergeCell ref="B99:D99"/>
    <mergeCell ref="B87:D87"/>
    <mergeCell ref="B81:D81"/>
    <mergeCell ref="B75:D75"/>
    <mergeCell ref="B93:D93"/>
    <mergeCell ref="B85:D85"/>
    <mergeCell ref="B86:D86"/>
    <mergeCell ref="B100:D100"/>
    <mergeCell ref="B70:D70"/>
    <mergeCell ref="B71:D71"/>
    <mergeCell ref="B72:D72"/>
    <mergeCell ref="B73:D73"/>
    <mergeCell ref="B74:D74"/>
    <mergeCell ref="B79:D79"/>
    <mergeCell ref="B80:D80"/>
    <mergeCell ref="B82:D82"/>
    <mergeCell ref="B46:D46"/>
    <mergeCell ref="B47:D47"/>
    <mergeCell ref="B48:D48"/>
    <mergeCell ref="B49:D49"/>
    <mergeCell ref="B50:D50"/>
    <mergeCell ref="B56:D56"/>
    <mergeCell ref="B65:D65"/>
    <mergeCell ref="B66:D66"/>
    <mergeCell ref="B67:D67"/>
    <mergeCell ref="B68:D68"/>
    <mergeCell ref="B57:D57"/>
    <mergeCell ref="B51:D51"/>
    <mergeCell ref="B52:D52"/>
    <mergeCell ref="B53:D53"/>
    <mergeCell ref="I15:K16"/>
    <mergeCell ref="B54:D54"/>
    <mergeCell ref="B55:D55"/>
    <mergeCell ref="C20:H20"/>
    <mergeCell ref="B45:D45"/>
    <mergeCell ref="B44:D44"/>
    <mergeCell ref="D19:E19"/>
    <mergeCell ref="C41:D41"/>
    <mergeCell ref="B43:D43"/>
    <mergeCell ref="C27:H27"/>
    <mergeCell ref="C34:H3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
  <sheetViews>
    <sheetView workbookViewId="0">
      <selection activeCell="B1" sqref="B1"/>
    </sheetView>
  </sheetViews>
  <sheetFormatPr defaultRowHeight="15" x14ac:dyDescent="0.25"/>
  <cols>
    <col min="1" max="1" width="3.7109375" customWidth="1"/>
    <col min="2" max="2" width="19.85546875" customWidth="1"/>
    <col min="3" max="3" width="15.28515625" customWidth="1"/>
    <col min="5" max="5" width="13.5703125" customWidth="1"/>
    <col min="7" max="7" width="16.28515625" customWidth="1"/>
  </cols>
  <sheetData>
    <row r="1" spans="2:8" ht="14.45" x14ac:dyDescent="0.3">
      <c r="B1" s="408" t="str">
        <f>Cost_Estimate!C2</f>
        <v>Chesterfield Road - Heeley Bridge / Broadfield Road</v>
      </c>
    </row>
    <row r="2" spans="2:8" thickBot="1" x14ac:dyDescent="0.35">
      <c r="B2" s="2"/>
      <c r="C2" s="2"/>
      <c r="D2" s="2"/>
      <c r="E2" s="2"/>
      <c r="F2" s="8"/>
      <c r="G2" s="12" t="s">
        <v>209</v>
      </c>
      <c r="H2" s="8"/>
    </row>
    <row r="3" spans="2:8" thickBot="1" x14ac:dyDescent="0.35">
      <c r="B3" s="300"/>
      <c r="C3" s="285" t="s">
        <v>1</v>
      </c>
      <c r="D3" s="283" t="s">
        <v>100</v>
      </c>
      <c r="E3" s="283" t="s">
        <v>0</v>
      </c>
      <c r="F3" s="283" t="s">
        <v>101</v>
      </c>
      <c r="G3" s="301">
        <f>G4+G5</f>
        <v>16785607.630835932</v>
      </c>
      <c r="H3" s="271" t="s">
        <v>17</v>
      </c>
    </row>
    <row r="4" spans="2:8" ht="14.45" x14ac:dyDescent="0.3">
      <c r="B4" s="297" t="s">
        <v>79</v>
      </c>
      <c r="C4" s="298">
        <f>SUM('VoT calcs'!X44:X103)*'VoT calcs'!$C$19</f>
        <v>3470189.9241508581</v>
      </c>
      <c r="D4" s="340">
        <f>SUM('VoT calcs'!Y44:Y103)*'VoT calcs'!$C$26</f>
        <v>0</v>
      </c>
      <c r="E4" s="340">
        <f>SUM('VoT calcs'!Z44:Z103)*'VoT calcs'!C33</f>
        <v>439308.49439713947</v>
      </c>
      <c r="F4" s="340">
        <f>SUM('VoT calcs'!AA44:AA103)*'VoT calcs'!C40</f>
        <v>0</v>
      </c>
      <c r="G4" s="299">
        <f>SUM(C4:F4)</f>
        <v>3909498.4185479977</v>
      </c>
      <c r="H4" s="8"/>
    </row>
    <row r="5" spans="2:8" thickBot="1" x14ac:dyDescent="0.35">
      <c r="B5" s="296" t="s">
        <v>78</v>
      </c>
      <c r="C5" s="295">
        <f>SUM('VoT calcs'!X44:X100)-C4</f>
        <v>10884258.056201287</v>
      </c>
      <c r="D5" s="293">
        <f>SUM('VoT calcs'!Y44:Y100)-D4</f>
        <v>0</v>
      </c>
      <c r="E5" s="293">
        <f>SUM('VoT calcs'!Z44:Z100)-E4</f>
        <v>1991851.1560866477</v>
      </c>
      <c r="F5" s="293">
        <f>SUM('VoT calcs'!AA44:AA100)-F4</f>
        <v>0</v>
      </c>
      <c r="G5" s="294">
        <f>SUM(C5:F5)</f>
        <v>12876109.212287934</v>
      </c>
      <c r="H5" s="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7"/>
  <sheetViews>
    <sheetView workbookViewId="0">
      <selection activeCell="H5" sqref="H5"/>
    </sheetView>
  </sheetViews>
  <sheetFormatPr defaultRowHeight="15" x14ac:dyDescent="0.25"/>
  <cols>
    <col min="1" max="1" width="3.5703125" customWidth="1"/>
    <col min="2" max="2" width="21.28515625" style="71" customWidth="1"/>
    <col min="3" max="3" width="19.28515625" style="71" customWidth="1"/>
  </cols>
  <sheetData>
    <row r="1" spans="2:3" ht="14.45" x14ac:dyDescent="0.3">
      <c r="B1" s="408" t="str">
        <f>Cost_Estimate!C2</f>
        <v>Chesterfield Road - Heeley Bridge / Broadfield Road</v>
      </c>
      <c r="C1" s="341"/>
    </row>
    <row r="2" spans="2:3" thickBot="1" x14ac:dyDescent="0.35">
      <c r="B2" s="341"/>
      <c r="C2" s="341"/>
    </row>
    <row r="3" spans="2:3" ht="14.45" x14ac:dyDescent="0.3">
      <c r="B3" s="389" t="s">
        <v>17</v>
      </c>
      <c r="C3" s="304">
        <f>PVB!G3</f>
        <v>16785607.630835932</v>
      </c>
    </row>
    <row r="4" spans="2:3" thickBot="1" x14ac:dyDescent="0.35">
      <c r="B4" s="390" t="s">
        <v>16</v>
      </c>
      <c r="C4" s="305">
        <f>PVC!C4</f>
        <v>3644269.0103788241</v>
      </c>
    </row>
    <row r="5" spans="2:3" thickBot="1" x14ac:dyDescent="0.35">
      <c r="B5" s="506"/>
      <c r="C5" s="507"/>
    </row>
    <row r="6" spans="2:3" ht="14.45" x14ac:dyDescent="0.3">
      <c r="B6" s="389" t="s">
        <v>15</v>
      </c>
      <c r="C6" s="306">
        <f>C3/C4</f>
        <v>4.6060286941031992</v>
      </c>
    </row>
    <row r="7" spans="2:3" thickBot="1" x14ac:dyDescent="0.35">
      <c r="B7" s="390" t="s">
        <v>14</v>
      </c>
      <c r="C7" s="305">
        <f>C3-C4</f>
        <v>13141338.620457107</v>
      </c>
    </row>
  </sheetData>
  <mergeCells count="1">
    <mergeCell ref="B5:C5"/>
  </mergeCells>
  <conditionalFormatting sqref="C6">
    <cfRule type="cellIs" dxfId="2" priority="1" operator="lessThan">
      <formula>1</formula>
    </cfRule>
    <cfRule type="cellIs" dxfId="1" priority="2" operator="greaterThanOrEqual">
      <formula>2</formula>
    </cfRule>
    <cfRule type="cellIs" dxfId="0" priority="3" operator="between">
      <formula>2</formula>
      <formula>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D5" sqref="D5:H7"/>
    </sheetView>
  </sheetViews>
  <sheetFormatPr defaultColWidth="17.42578125" defaultRowHeight="15" x14ac:dyDescent="0.25"/>
  <cols>
    <col min="1" max="1" width="20.42578125" bestFit="1" customWidth="1"/>
    <col min="2" max="2" width="12.140625" bestFit="1" customWidth="1"/>
    <col min="4" max="5" width="11.85546875" bestFit="1" customWidth="1"/>
    <col min="6" max="7" width="10.85546875" bestFit="1" customWidth="1"/>
    <col min="8" max="8" width="8.5703125" bestFit="1" customWidth="1"/>
    <col min="9" max="9" width="9.5703125" bestFit="1" customWidth="1"/>
    <col min="10" max="10" width="9.140625" bestFit="1" customWidth="1"/>
  </cols>
  <sheetData>
    <row r="1" spans="1:10" thickBot="1" x14ac:dyDescent="0.35">
      <c r="A1" s="240" t="s">
        <v>195</v>
      </c>
      <c r="B1" s="241"/>
      <c r="C1" s="241"/>
      <c r="D1" s="242" t="s">
        <v>196</v>
      </c>
      <c r="E1" s="242"/>
      <c r="F1" s="242"/>
      <c r="G1" s="242"/>
      <c r="H1" s="242"/>
      <c r="I1" s="242"/>
      <c r="J1" s="243"/>
    </row>
    <row r="2" spans="1:10" ht="15.6" thickTop="1" thickBot="1" x14ac:dyDescent="0.35">
      <c r="A2" s="244"/>
      <c r="B2" s="196"/>
      <c r="C2" s="197"/>
      <c r="D2" s="198" t="s">
        <v>116</v>
      </c>
      <c r="E2" s="198"/>
      <c r="F2" s="198"/>
      <c r="G2" s="198"/>
      <c r="H2" s="199"/>
      <c r="I2" s="200" t="s">
        <v>124</v>
      </c>
      <c r="J2" s="245" t="s">
        <v>125</v>
      </c>
    </row>
    <row r="3" spans="1:10" ht="16.5" thickTop="1" thickBot="1" x14ac:dyDescent="0.3">
      <c r="A3" s="246" t="s">
        <v>197</v>
      </c>
      <c r="B3" s="201"/>
      <c r="C3" s="202"/>
      <c r="D3" s="203" t="s">
        <v>119</v>
      </c>
      <c r="E3" s="204" t="s">
        <v>120</v>
      </c>
      <c r="F3" s="204" t="s">
        <v>121</v>
      </c>
      <c r="G3" s="204" t="s">
        <v>122</v>
      </c>
      <c r="H3" s="205" t="s">
        <v>123</v>
      </c>
      <c r="I3" s="206" t="s">
        <v>123</v>
      </c>
      <c r="J3" s="247" t="s">
        <v>123</v>
      </c>
    </row>
    <row r="4" spans="1:10" ht="15.6" thickTop="1" thickBot="1" x14ac:dyDescent="0.35">
      <c r="A4" s="248" t="s">
        <v>198</v>
      </c>
      <c r="B4" s="207"/>
      <c r="C4" s="46"/>
      <c r="D4" s="208" t="s">
        <v>202</v>
      </c>
      <c r="E4" s="208"/>
      <c r="F4" s="208"/>
      <c r="G4" s="208"/>
      <c r="H4" s="208"/>
      <c r="I4" s="208"/>
      <c r="J4" s="249"/>
    </row>
    <row r="5" spans="1:10" thickTop="1" x14ac:dyDescent="0.3">
      <c r="A5" s="250" t="s">
        <v>92</v>
      </c>
      <c r="B5" s="209" t="s">
        <v>126</v>
      </c>
      <c r="C5" s="210"/>
      <c r="D5" s="211">
        <v>16.459385289942354</v>
      </c>
      <c r="E5" s="211">
        <v>16.469988489431714</v>
      </c>
      <c r="F5" s="211">
        <v>11.806951255862748</v>
      </c>
      <c r="G5" s="212">
        <v>12.87839002123401</v>
      </c>
      <c r="H5" s="213">
        <v>14.849800189287379</v>
      </c>
      <c r="I5" s="214">
        <v>3.4734156577865827</v>
      </c>
      <c r="J5" s="251">
        <v>12.059245195845831</v>
      </c>
    </row>
    <row r="6" spans="1:10" ht="14.45" x14ac:dyDescent="0.3">
      <c r="A6" s="252"/>
      <c r="B6" s="209" t="s">
        <v>127</v>
      </c>
      <c r="C6" s="215"/>
      <c r="D6" s="216">
        <v>44.0642044603279</v>
      </c>
      <c r="E6" s="216">
        <v>11.805618519478546</v>
      </c>
      <c r="F6" s="216">
        <v>41.265765973847898</v>
      </c>
      <c r="G6" s="217">
        <v>38.544312764290439</v>
      </c>
      <c r="H6" s="218">
        <v>31.208976947723109</v>
      </c>
      <c r="I6" s="219">
        <v>7.8885077503504997</v>
      </c>
      <c r="J6" s="253">
        <v>25.488591248387817</v>
      </c>
    </row>
    <row r="7" spans="1:10" ht="14.45" x14ac:dyDescent="0.3">
      <c r="A7" s="254"/>
      <c r="B7" s="220" t="s">
        <v>128</v>
      </c>
      <c r="C7" s="221"/>
      <c r="D7" s="222">
        <v>39.476410249729753</v>
      </c>
      <c r="E7" s="222">
        <v>71.724392991089715</v>
      </c>
      <c r="F7" s="222">
        <v>46.927282770289352</v>
      </c>
      <c r="G7" s="223">
        <v>48.577297214475557</v>
      </c>
      <c r="H7" s="224">
        <v>53.941222862989513</v>
      </c>
      <c r="I7" s="225">
        <v>88.638076591862927</v>
      </c>
      <c r="J7" s="255">
        <v>62.452163555766383</v>
      </c>
    </row>
    <row r="8" spans="1:10" ht="26.45" x14ac:dyDescent="0.3">
      <c r="A8" s="250" t="s">
        <v>8</v>
      </c>
      <c r="B8" s="209" t="s">
        <v>130</v>
      </c>
      <c r="C8" s="215"/>
      <c r="D8" s="216">
        <v>88</v>
      </c>
      <c r="E8" s="216">
        <v>88</v>
      </c>
      <c r="F8" s="216">
        <v>88</v>
      </c>
      <c r="G8" s="217">
        <v>88</v>
      </c>
      <c r="H8" s="218">
        <v>88</v>
      </c>
      <c r="I8" s="219">
        <v>88</v>
      </c>
      <c r="J8" s="253">
        <v>88</v>
      </c>
    </row>
    <row r="9" spans="1:10" x14ac:dyDescent="0.25">
      <c r="A9" s="254"/>
      <c r="B9" s="220" t="s">
        <v>199</v>
      </c>
      <c r="C9" s="221"/>
      <c r="D9" s="222">
        <v>12</v>
      </c>
      <c r="E9" s="222">
        <v>12</v>
      </c>
      <c r="F9" s="222">
        <v>12</v>
      </c>
      <c r="G9" s="223">
        <v>12</v>
      </c>
      <c r="H9" s="224">
        <v>12</v>
      </c>
      <c r="I9" s="225">
        <v>12</v>
      </c>
      <c r="J9" s="255">
        <v>12</v>
      </c>
    </row>
    <row r="10" spans="1:10" ht="14.45" x14ac:dyDescent="0.3">
      <c r="A10" s="250" t="s">
        <v>133</v>
      </c>
      <c r="B10" s="209" t="s">
        <v>126</v>
      </c>
      <c r="C10" s="215"/>
      <c r="D10" s="216">
        <v>100</v>
      </c>
      <c r="E10" s="216">
        <v>100</v>
      </c>
      <c r="F10" s="216">
        <v>100</v>
      </c>
      <c r="G10" s="217">
        <v>100</v>
      </c>
      <c r="H10" s="218">
        <v>100</v>
      </c>
      <c r="I10" s="219">
        <v>100</v>
      </c>
      <c r="J10" s="253">
        <v>100</v>
      </c>
    </row>
    <row r="11" spans="1:10" thickBot="1" x14ac:dyDescent="0.35">
      <c r="A11" s="250" t="s">
        <v>88</v>
      </c>
      <c r="B11" s="209" t="s">
        <v>126</v>
      </c>
      <c r="C11" s="226"/>
      <c r="D11" s="227">
        <v>100</v>
      </c>
      <c r="E11" s="227">
        <v>100</v>
      </c>
      <c r="F11" s="227">
        <v>100</v>
      </c>
      <c r="G11" s="228">
        <v>100</v>
      </c>
      <c r="H11" s="229">
        <v>100</v>
      </c>
      <c r="I11" s="230">
        <v>100</v>
      </c>
      <c r="J11" s="256">
        <v>100</v>
      </c>
    </row>
    <row r="12" spans="1:10" ht="15.6" thickTop="1" thickBot="1" x14ac:dyDescent="0.35">
      <c r="A12" s="257"/>
      <c r="B12" s="231"/>
      <c r="C12" s="232"/>
      <c r="D12" s="233" t="s">
        <v>203</v>
      </c>
      <c r="E12" s="233"/>
      <c r="F12" s="233"/>
      <c r="G12" s="233"/>
      <c r="H12" s="233"/>
      <c r="I12" s="233"/>
      <c r="J12" s="258"/>
    </row>
    <row r="13" spans="1:10" thickTop="1" x14ac:dyDescent="0.3">
      <c r="A13" s="250" t="s">
        <v>92</v>
      </c>
      <c r="B13" s="209" t="s">
        <v>126</v>
      </c>
      <c r="C13" s="215"/>
      <c r="D13" s="211">
        <v>13.707109449031424</v>
      </c>
      <c r="E13" s="211">
        <v>11.710206944296946</v>
      </c>
      <c r="F13" s="211">
        <v>9.4299458510915066</v>
      </c>
      <c r="G13" s="212">
        <v>10.398251832525704</v>
      </c>
      <c r="H13" s="234">
        <v>11.485345199364792</v>
      </c>
      <c r="I13" s="212">
        <v>2.2040849409950423</v>
      </c>
      <c r="J13" s="259">
        <v>8.6480052616501482</v>
      </c>
    </row>
    <row r="14" spans="1:10" ht="14.45" x14ac:dyDescent="0.3">
      <c r="A14" s="252"/>
      <c r="B14" s="209" t="s">
        <v>127</v>
      </c>
      <c r="C14" s="215"/>
      <c r="D14" s="216">
        <v>36.073485614974651</v>
      </c>
      <c r="E14" s="216">
        <v>8.1261077675954354</v>
      </c>
      <c r="F14" s="216">
        <v>32.060324375697427</v>
      </c>
      <c r="G14" s="217">
        <v>30.113600843965006</v>
      </c>
      <c r="H14" s="235">
        <v>23.504141644346408</v>
      </c>
      <c r="I14" s="217">
        <v>4.4335642053449007</v>
      </c>
      <c r="J14" s="260">
        <v>17.674138095978513</v>
      </c>
    </row>
    <row r="15" spans="1:10" ht="14.45" x14ac:dyDescent="0.3">
      <c r="A15" s="254"/>
      <c r="B15" s="220" t="s">
        <v>128</v>
      </c>
      <c r="C15" s="221"/>
      <c r="D15" s="222">
        <v>50.219404935993929</v>
      </c>
      <c r="E15" s="222">
        <v>80.163685288107629</v>
      </c>
      <c r="F15" s="222">
        <v>58.509729773211063</v>
      </c>
      <c r="G15" s="223">
        <v>59.488147323509295</v>
      </c>
      <c r="H15" s="236">
        <v>65.010513156288823</v>
      </c>
      <c r="I15" s="223">
        <v>93.362350853660061</v>
      </c>
      <c r="J15" s="261">
        <v>73.677856642371339</v>
      </c>
    </row>
    <row r="16" spans="1:10" ht="14.45" x14ac:dyDescent="0.3">
      <c r="A16" s="250" t="s">
        <v>82</v>
      </c>
      <c r="B16" s="209" t="s">
        <v>87</v>
      </c>
      <c r="C16" s="215"/>
      <c r="D16" s="216">
        <v>1.3835381428658444</v>
      </c>
      <c r="E16" s="216">
        <v>1.6564763011460604</v>
      </c>
      <c r="F16" s="216">
        <v>2.2880691135519755</v>
      </c>
      <c r="G16" s="217">
        <v>2.2765239177919931</v>
      </c>
      <c r="H16" s="235">
        <v>1.7657061929367741</v>
      </c>
      <c r="I16" s="217">
        <v>0.53791427908036671</v>
      </c>
      <c r="J16" s="260">
        <v>1.4625141523936813</v>
      </c>
    </row>
    <row r="17" spans="1:10" ht="14.45" x14ac:dyDescent="0.3">
      <c r="A17" s="252"/>
      <c r="B17" s="209" t="s">
        <v>127</v>
      </c>
      <c r="C17" s="215"/>
      <c r="D17" s="216">
        <v>18.435993097170936</v>
      </c>
      <c r="E17" s="216">
        <v>6.4612289194085237</v>
      </c>
      <c r="F17" s="216">
        <v>25.92796645541091</v>
      </c>
      <c r="G17" s="217">
        <v>35.442886105889464</v>
      </c>
      <c r="H17" s="235">
        <v>16.000106181879431</v>
      </c>
      <c r="I17" s="217">
        <v>6.0614576256284254</v>
      </c>
      <c r="J17" s="260">
        <v>13.545374398079296</v>
      </c>
    </row>
    <row r="18" spans="1:10" ht="14.45" x14ac:dyDescent="0.3">
      <c r="A18" s="254"/>
      <c r="B18" s="220" t="s">
        <v>105</v>
      </c>
      <c r="C18" s="221"/>
      <c r="D18" s="222">
        <v>80.180468759963233</v>
      </c>
      <c r="E18" s="222">
        <v>91.882294779445417</v>
      </c>
      <c r="F18" s="222">
        <v>71.783964431037106</v>
      </c>
      <c r="G18" s="223">
        <v>62.280589976318538</v>
      </c>
      <c r="H18" s="236">
        <v>82.234187625183793</v>
      </c>
      <c r="I18" s="223">
        <v>93.400628095291225</v>
      </c>
      <c r="J18" s="261">
        <v>84.992111449527002</v>
      </c>
    </row>
    <row r="19" spans="1:10" ht="14.45" x14ac:dyDescent="0.3">
      <c r="A19" s="250" t="s">
        <v>200</v>
      </c>
      <c r="B19" s="209" t="s">
        <v>87</v>
      </c>
      <c r="C19" s="215"/>
      <c r="D19" s="216">
        <v>17.095763351895148</v>
      </c>
      <c r="E19" s="216">
        <v>15.761291414217771</v>
      </c>
      <c r="F19" s="216">
        <v>15.721088702465865</v>
      </c>
      <c r="G19" s="217">
        <v>17.717640128986556</v>
      </c>
      <c r="H19" s="235">
        <v>16.44148885167294</v>
      </c>
      <c r="I19" s="217">
        <v>1.8492375471835516</v>
      </c>
      <c r="J19" s="260">
        <v>12.179493858306254</v>
      </c>
    </row>
    <row r="20" spans="1:10" ht="14.45" x14ac:dyDescent="0.3">
      <c r="A20" s="252"/>
      <c r="B20" s="209" t="s">
        <v>104</v>
      </c>
      <c r="C20" s="215"/>
      <c r="D20" s="216">
        <v>31.240592139668948</v>
      </c>
      <c r="E20" s="216">
        <v>5.4870791527197555</v>
      </c>
      <c r="F20" s="216">
        <v>38.148455568347032</v>
      </c>
      <c r="G20" s="217">
        <v>38.550056446297575</v>
      </c>
      <c r="H20" s="235">
        <v>27.236732211776136</v>
      </c>
      <c r="I20" s="217">
        <v>2.7903948162008922</v>
      </c>
      <c r="J20" s="260">
        <v>20.096601909304603</v>
      </c>
    </row>
    <row r="21" spans="1:10" ht="14.45" x14ac:dyDescent="0.3">
      <c r="A21" s="254"/>
      <c r="B21" s="220" t="s">
        <v>105</v>
      </c>
      <c r="C21" s="221"/>
      <c r="D21" s="222">
        <v>51.663644508435894</v>
      </c>
      <c r="E21" s="222">
        <v>78.751629433062462</v>
      </c>
      <c r="F21" s="222">
        <v>46.130455729187105</v>
      </c>
      <c r="G21" s="223">
        <v>43.732303424715866</v>
      </c>
      <c r="H21" s="236">
        <v>56.321778936550935</v>
      </c>
      <c r="I21" s="223">
        <v>95.36036763661555</v>
      </c>
      <c r="J21" s="261">
        <v>67.723904232389145</v>
      </c>
    </row>
    <row r="22" spans="1:10" ht="14.45" x14ac:dyDescent="0.3">
      <c r="A22" s="250" t="s">
        <v>201</v>
      </c>
      <c r="B22" s="209" t="s">
        <v>87</v>
      </c>
      <c r="C22" s="215"/>
      <c r="D22" s="237">
        <v>4.5008390781006646</v>
      </c>
      <c r="E22" s="237">
        <v>3.2169908590276095</v>
      </c>
      <c r="F22" s="237">
        <v>5.2139820322458004</v>
      </c>
      <c r="G22" s="238">
        <v>2.4938726123871469</v>
      </c>
      <c r="H22" s="239">
        <v>3.9317225935534537</v>
      </c>
      <c r="I22" s="238">
        <v>0.70816836393730676</v>
      </c>
      <c r="J22" s="262">
        <v>3.0634255554530738</v>
      </c>
    </row>
    <row r="23" spans="1:10" ht="14.45" x14ac:dyDescent="0.3">
      <c r="A23" s="252"/>
      <c r="B23" s="209" t="s">
        <v>104</v>
      </c>
      <c r="C23" s="215"/>
      <c r="D23" s="237">
        <v>50.081493196827211</v>
      </c>
      <c r="E23" s="237">
        <v>10.74492752850948</v>
      </c>
      <c r="F23" s="237">
        <v>45.856382354256567</v>
      </c>
      <c r="G23" s="238">
        <v>54.706195642057139</v>
      </c>
      <c r="H23" s="239">
        <v>34.473255631310224</v>
      </c>
      <c r="I23" s="238">
        <v>7.5870535223892785</v>
      </c>
      <c r="J23" s="262">
        <v>27.209783429130745</v>
      </c>
    </row>
    <row r="24" spans="1:10" thickBot="1" x14ac:dyDescent="0.35">
      <c r="A24" s="263"/>
      <c r="B24" s="264" t="s">
        <v>105</v>
      </c>
      <c r="C24" s="265"/>
      <c r="D24" s="266">
        <v>45.417667725072128</v>
      </c>
      <c r="E24" s="266">
        <v>86.038081612462918</v>
      </c>
      <c r="F24" s="266">
        <v>48.929635613497602</v>
      </c>
      <c r="G24" s="267">
        <v>42.799931745555703</v>
      </c>
      <c r="H24" s="268">
        <v>61.595021775136296</v>
      </c>
      <c r="I24" s="267">
        <v>91.704778113673413</v>
      </c>
      <c r="J24" s="269">
        <v>69.726791015416183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J6" sqref="J6"/>
    </sheetView>
  </sheetViews>
  <sheetFormatPr defaultRowHeight="15" x14ac:dyDescent="0.25"/>
  <sheetData>
    <row r="1" spans="1:10" thickTop="1" x14ac:dyDescent="0.3">
      <c r="A1" s="28" t="s">
        <v>114</v>
      </c>
      <c r="B1" s="29"/>
      <c r="C1" s="30"/>
      <c r="D1" s="29"/>
      <c r="E1" s="29"/>
      <c r="F1" s="29"/>
      <c r="G1" s="29"/>
      <c r="H1" s="29"/>
      <c r="I1" s="29"/>
      <c r="J1" s="31"/>
    </row>
    <row r="2" spans="1:10" ht="15.75" thickBot="1" x14ac:dyDescent="0.3">
      <c r="A2" s="32"/>
      <c r="B2" s="33" t="s">
        <v>138</v>
      </c>
      <c r="C2" s="34"/>
      <c r="D2" s="33"/>
      <c r="E2" s="33"/>
      <c r="F2" s="33"/>
      <c r="G2" s="33"/>
      <c r="H2" s="33"/>
      <c r="I2" s="33"/>
      <c r="J2" s="35"/>
    </row>
    <row r="3" spans="1:10" ht="16.899999999999999" customHeight="1" thickTop="1" thickBot="1" x14ac:dyDescent="0.35">
      <c r="A3" s="36" t="s">
        <v>115</v>
      </c>
      <c r="B3" s="37"/>
      <c r="C3" s="38"/>
      <c r="D3" s="39" t="s">
        <v>116</v>
      </c>
      <c r="E3" s="40"/>
      <c r="F3" s="40"/>
      <c r="G3" s="41"/>
      <c r="H3" s="42"/>
      <c r="I3" s="43"/>
      <c r="J3" s="42"/>
    </row>
    <row r="4" spans="1:10" ht="27" thickTop="1" thickBot="1" x14ac:dyDescent="0.3">
      <c r="A4" s="44" t="s">
        <v>117</v>
      </c>
      <c r="B4" s="45" t="s">
        <v>118</v>
      </c>
      <c r="C4" s="46"/>
      <c r="D4" s="47" t="s">
        <v>119</v>
      </c>
      <c r="E4" s="48" t="s">
        <v>120</v>
      </c>
      <c r="F4" s="48" t="s">
        <v>121</v>
      </c>
      <c r="G4" s="49" t="s">
        <v>122</v>
      </c>
      <c r="H4" s="49" t="s">
        <v>123</v>
      </c>
      <c r="I4" s="50" t="s">
        <v>124</v>
      </c>
      <c r="J4" s="51" t="s">
        <v>125</v>
      </c>
    </row>
    <row r="5" spans="1:10" thickTop="1" x14ac:dyDescent="0.3">
      <c r="A5" s="52" t="s">
        <v>92</v>
      </c>
      <c r="B5" s="53" t="s">
        <v>126</v>
      </c>
      <c r="C5" s="54"/>
      <c r="D5" s="55">
        <v>19.999723130530565</v>
      </c>
      <c r="E5" s="55">
        <v>20.494168490363094</v>
      </c>
      <c r="F5" s="55">
        <v>20.288349647451106</v>
      </c>
      <c r="G5" s="55">
        <v>20.672217845378672</v>
      </c>
      <c r="H5" s="55">
        <v>20.324448501218679</v>
      </c>
      <c r="I5" s="55">
        <v>23.228300341310018</v>
      </c>
      <c r="J5" s="55">
        <v>20.530572028098529</v>
      </c>
    </row>
    <row r="6" spans="1:10" ht="14.45" x14ac:dyDescent="0.3">
      <c r="A6" s="56"/>
      <c r="B6" s="53" t="s">
        <v>127</v>
      </c>
      <c r="C6" s="54"/>
      <c r="D6" s="57">
        <v>11.270862371732015</v>
      </c>
      <c r="E6" s="57">
        <v>11.454127644907835</v>
      </c>
      <c r="F6" s="57">
        <v>11.309739599833186</v>
      </c>
      <c r="G6" s="57">
        <v>11.475268410148226</v>
      </c>
      <c r="H6" s="57">
        <v>11.348192808668021</v>
      </c>
      <c r="I6" s="57">
        <v>12.014921062722701</v>
      </c>
      <c r="J6" s="57">
        <v>11.40213156390921</v>
      </c>
    </row>
    <row r="7" spans="1:10" ht="14.45" x14ac:dyDescent="0.3">
      <c r="A7" s="56"/>
      <c r="B7" s="53" t="s">
        <v>128</v>
      </c>
      <c r="C7" s="54"/>
      <c r="D7" s="57">
        <v>7.7760218476864438</v>
      </c>
      <c r="E7" s="57">
        <v>8.2833001204758325</v>
      </c>
      <c r="F7" s="57">
        <v>8.1431097826307859</v>
      </c>
      <c r="G7" s="57">
        <v>8.1140370950830043</v>
      </c>
      <c r="H7" s="57">
        <v>8.1341976352977419</v>
      </c>
      <c r="I7" s="57">
        <v>9.6310860851467268</v>
      </c>
      <c r="J7" s="57">
        <v>8.6624023032908735</v>
      </c>
    </row>
    <row r="8" spans="1:10" ht="14.45" x14ac:dyDescent="0.3">
      <c r="A8" s="58"/>
      <c r="B8" s="59" t="s">
        <v>129</v>
      </c>
      <c r="C8" s="60"/>
      <c r="D8" s="61">
        <v>11.32794161259922</v>
      </c>
      <c r="E8" s="61">
        <v>10.668764536900987</v>
      </c>
      <c r="F8" s="61">
        <v>10.88382638300256</v>
      </c>
      <c r="G8" s="61">
        <v>11.026892102487622</v>
      </c>
      <c r="H8" s="61">
        <v>10.947480544217941</v>
      </c>
      <c r="I8" s="61">
        <v>10.29142286110474</v>
      </c>
      <c r="J8" s="61">
        <v>10.791932383216057</v>
      </c>
    </row>
    <row r="9" spans="1:10" ht="14.45" x14ac:dyDescent="0.3">
      <c r="A9" s="62" t="s">
        <v>8</v>
      </c>
      <c r="B9" s="53" t="s">
        <v>130</v>
      </c>
      <c r="C9" s="54"/>
      <c r="D9" s="57">
        <v>14.615979367528489</v>
      </c>
      <c r="E9" s="57">
        <v>14.615979367528489</v>
      </c>
      <c r="F9" s="57">
        <v>14.615979367528489</v>
      </c>
      <c r="G9" s="57">
        <v>14.615979367528489</v>
      </c>
      <c r="H9" s="57">
        <v>14.615979367528489</v>
      </c>
      <c r="I9" s="57">
        <v>15.346778335904915</v>
      </c>
      <c r="J9" s="57">
        <v>14.615979367528489</v>
      </c>
    </row>
    <row r="10" spans="1:10" ht="14.45" x14ac:dyDescent="0.3">
      <c r="A10" s="56"/>
      <c r="B10" s="53" t="s">
        <v>131</v>
      </c>
      <c r="C10" s="54"/>
      <c r="D10" s="57">
        <v>8.9218938643805572</v>
      </c>
      <c r="E10" s="57">
        <v>8.9218938643805572</v>
      </c>
      <c r="F10" s="57">
        <v>8.9218938643805572</v>
      </c>
      <c r="G10" s="57">
        <v>8.9218938643805572</v>
      </c>
      <c r="H10" s="57">
        <v>8.9218938643805572</v>
      </c>
      <c r="I10" s="57">
        <v>12.40509900321406</v>
      </c>
      <c r="J10" s="57">
        <v>9.7163090714829359</v>
      </c>
    </row>
    <row r="11" spans="1:10" ht="14.45" x14ac:dyDescent="0.3">
      <c r="A11" s="58"/>
      <c r="B11" s="59" t="s">
        <v>132</v>
      </c>
      <c r="C11" s="60"/>
      <c r="D11" s="61">
        <v>13.932689107150736</v>
      </c>
      <c r="E11" s="61">
        <v>13.932689107150736</v>
      </c>
      <c r="F11" s="61">
        <v>13.932689107150736</v>
      </c>
      <c r="G11" s="61">
        <v>13.932689107150736</v>
      </c>
      <c r="H11" s="61">
        <v>13.932689107150736</v>
      </c>
      <c r="I11" s="61">
        <v>14.993776815982015</v>
      </c>
      <c r="J11" s="61">
        <v>14.028018932003022</v>
      </c>
    </row>
    <row r="12" spans="1:10" ht="14.45" x14ac:dyDescent="0.3">
      <c r="A12" s="62" t="s">
        <v>133</v>
      </c>
      <c r="B12" s="53" t="s">
        <v>134</v>
      </c>
      <c r="C12" s="54"/>
      <c r="D12" s="57">
        <v>14.350951963873458</v>
      </c>
      <c r="E12" s="57">
        <v>14.350951963873458</v>
      </c>
      <c r="F12" s="57">
        <v>14.350951963873458</v>
      </c>
      <c r="G12" s="57">
        <v>14.350951963873458</v>
      </c>
      <c r="H12" s="57">
        <v>14.350951963873458</v>
      </c>
      <c r="I12" s="57">
        <v>14.350951963873458</v>
      </c>
      <c r="J12" s="57">
        <v>14.350951963873458</v>
      </c>
    </row>
    <row r="13" spans="1:10" ht="14.45" x14ac:dyDescent="0.3">
      <c r="A13" s="63" t="s">
        <v>88</v>
      </c>
      <c r="B13" s="59" t="s">
        <v>134</v>
      </c>
      <c r="C13" s="60"/>
      <c r="D13" s="61">
        <v>14.350951963873458</v>
      </c>
      <c r="E13" s="61">
        <v>14.350951963873458</v>
      </c>
      <c r="F13" s="61">
        <v>14.350951963873458</v>
      </c>
      <c r="G13" s="61">
        <v>14.350951963873458</v>
      </c>
      <c r="H13" s="61">
        <v>14.350951963873458</v>
      </c>
      <c r="I13" s="61">
        <v>14.350951963873458</v>
      </c>
      <c r="J13" s="61">
        <v>14.350951963873458</v>
      </c>
    </row>
    <row r="14" spans="1:10" ht="14.45" x14ac:dyDescent="0.3">
      <c r="A14" s="64" t="s">
        <v>135</v>
      </c>
      <c r="B14" s="53" t="s">
        <v>126</v>
      </c>
      <c r="C14" s="54"/>
      <c r="D14" s="57">
        <v>16.353039511604919</v>
      </c>
      <c r="E14" s="57">
        <v>16.686819590400443</v>
      </c>
      <c r="F14" s="57">
        <v>17.459203708545985</v>
      </c>
      <c r="G14" s="57">
        <v>17.445084919239434</v>
      </c>
      <c r="H14" s="57">
        <v>16.820398427886772</v>
      </c>
      <c r="I14" s="57">
        <v>15.31891368008262</v>
      </c>
      <c r="J14" s="57">
        <v>16.449620432533145</v>
      </c>
    </row>
    <row r="15" spans="1:10" ht="14.45" x14ac:dyDescent="0.3">
      <c r="A15" s="64" t="s">
        <v>136</v>
      </c>
      <c r="B15" s="53" t="s">
        <v>127</v>
      </c>
      <c r="C15" s="54"/>
      <c r="D15" s="57">
        <v>22.386087851109579</v>
      </c>
      <c r="E15" s="57">
        <v>7.8456114326819071</v>
      </c>
      <c r="F15" s="57">
        <v>31.483290963073703</v>
      </c>
      <c r="G15" s="57">
        <v>43.036876716181169</v>
      </c>
      <c r="H15" s="57">
        <v>19.428287954262593</v>
      </c>
      <c r="I15" s="57">
        <v>7.3601851659359987</v>
      </c>
      <c r="J15" s="57">
        <v>16.447605488532375</v>
      </c>
    </row>
    <row r="16" spans="1:10" ht="14.45" x14ac:dyDescent="0.3">
      <c r="A16" s="56"/>
      <c r="B16" s="65" t="s">
        <v>105</v>
      </c>
      <c r="C16" s="60"/>
      <c r="D16" s="61">
        <v>44.437994334995601</v>
      </c>
      <c r="E16" s="61">
        <v>50.923435071437268</v>
      </c>
      <c r="F16" s="61">
        <v>39.784444442195543</v>
      </c>
      <c r="G16" s="61">
        <v>34.517439812347341</v>
      </c>
      <c r="H16" s="61">
        <v>45.576216008051169</v>
      </c>
      <c r="I16" s="61">
        <v>51.764932861755518</v>
      </c>
      <c r="J16" s="61">
        <v>47.104725446545615</v>
      </c>
    </row>
    <row r="17" spans="1:10" ht="14.45" x14ac:dyDescent="0.3">
      <c r="A17" s="56"/>
      <c r="B17" s="53" t="s">
        <v>137</v>
      </c>
      <c r="C17" s="54"/>
      <c r="D17" s="57">
        <v>83.177121697710106</v>
      </c>
      <c r="E17" s="57">
        <v>75.455866094519621</v>
      </c>
      <c r="F17" s="57">
        <v>88.726939113815234</v>
      </c>
      <c r="G17" s="57">
        <v>94.999401447767951</v>
      </c>
      <c r="H17" s="57">
        <v>81.824902390200535</v>
      </c>
      <c r="I17" s="57">
        <v>74.444031707774144</v>
      </c>
      <c r="J17" s="57">
        <v>80.001951367611127</v>
      </c>
    </row>
    <row r="18" spans="1:10" thickBot="1" x14ac:dyDescent="0.35">
      <c r="A18" s="66"/>
      <c r="B18" s="67"/>
      <c r="C18" s="68"/>
      <c r="D18" s="69"/>
      <c r="E18" s="70"/>
      <c r="F18" s="70"/>
      <c r="G18" s="70"/>
      <c r="H18" s="70"/>
      <c r="I18" s="70"/>
      <c r="J18" s="70"/>
    </row>
    <row r="19" spans="1:10" thickTop="1"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100"/>
  <sheetViews>
    <sheetView zoomScale="70" zoomScaleNormal="70" workbookViewId="0">
      <selection activeCell="F11" sqref="F11"/>
    </sheetView>
  </sheetViews>
  <sheetFormatPr defaultRowHeight="15" x14ac:dyDescent="0.25"/>
  <cols>
    <col min="14" max="14" width="10.42578125" customWidth="1"/>
  </cols>
  <sheetData>
    <row r="1" spans="1:14" ht="72.599999999999994" thickBot="1" x14ac:dyDescent="0.35">
      <c r="A1" t="s">
        <v>7</v>
      </c>
      <c r="B1" s="1" t="s">
        <v>6</v>
      </c>
      <c r="C1" s="1" t="s">
        <v>5</v>
      </c>
      <c r="E1" s="270" t="s">
        <v>207</v>
      </c>
      <c r="F1" s="74">
        <f>'VoT calcs'!C18</f>
        <v>0.15957980576351705</v>
      </c>
      <c r="G1" s="276">
        <f>'VoT calcs'!C25</f>
        <v>0.16469988489431714</v>
      </c>
      <c r="H1" s="74">
        <f>'VoT calcs'!C25</f>
        <v>0.16469988489431714</v>
      </c>
      <c r="I1" s="277">
        <f>'VoT calcs'!C39</f>
        <v>0.1287839002123401</v>
      </c>
    </row>
    <row r="2" spans="1:14" thickBot="1" x14ac:dyDescent="0.35">
      <c r="E2" s="79"/>
      <c r="F2" s="80" t="s">
        <v>1</v>
      </c>
      <c r="G2" s="80" t="s">
        <v>100</v>
      </c>
      <c r="H2" s="80" t="s">
        <v>0</v>
      </c>
      <c r="I2" s="278" t="s">
        <v>101</v>
      </c>
      <c r="K2" s="508" t="s">
        <v>208</v>
      </c>
      <c r="L2" s="509"/>
      <c r="M2" s="509"/>
      <c r="N2" s="510"/>
    </row>
    <row r="3" spans="1:14" ht="14.45" x14ac:dyDescent="0.3">
      <c r="A3">
        <f>'Annual Parameters'!B42</f>
        <v>2003</v>
      </c>
      <c r="B3" s="195">
        <f>'Annual Parameters'!T42</f>
        <v>2.9960027766022135</v>
      </c>
      <c r="C3" s="195">
        <f>'Annual Parameters'!U42</f>
        <v>2.9960027766022135</v>
      </c>
    </row>
    <row r="4" spans="1:14" ht="14.45" x14ac:dyDescent="0.3">
      <c r="A4">
        <f>'Annual Parameters'!B43</f>
        <v>2004</v>
      </c>
      <c r="B4" s="195">
        <f>'Annual Parameters'!T43</f>
        <v>1.9914497995892733</v>
      </c>
      <c r="C4" s="195">
        <f>'Annual Parameters'!U43</f>
        <v>1.9914497995892733</v>
      </c>
    </row>
    <row r="5" spans="1:14" ht="14.45" x14ac:dyDescent="0.3">
      <c r="A5">
        <f>'Annual Parameters'!B44</f>
        <v>2005</v>
      </c>
      <c r="B5" s="195">
        <f>'Annual Parameters'!T44</f>
        <v>2.1831009441564353</v>
      </c>
      <c r="C5" s="195">
        <f>'Annual Parameters'!U44</f>
        <v>2.1831009441564353</v>
      </c>
    </row>
    <row r="6" spans="1:14" ht="14.45" x14ac:dyDescent="0.3">
      <c r="A6">
        <f>'Annual Parameters'!B45</f>
        <v>2006</v>
      </c>
      <c r="B6" s="195">
        <f>'Annual Parameters'!T45</f>
        <v>1.8056919831320073</v>
      </c>
      <c r="C6" s="195">
        <f>'Annual Parameters'!U45</f>
        <v>1.8056919831320073</v>
      </c>
    </row>
    <row r="7" spans="1:14" ht="14.45" x14ac:dyDescent="0.3">
      <c r="A7">
        <f>'Annual Parameters'!B46</f>
        <v>2007</v>
      </c>
      <c r="B7" s="195">
        <f>'Annual Parameters'!T46</f>
        <v>1.7329521273423909</v>
      </c>
      <c r="C7" s="195">
        <f>'Annual Parameters'!U46</f>
        <v>1.7329521273423909</v>
      </c>
    </row>
    <row r="8" spans="1:14" ht="14.45" x14ac:dyDescent="0.3">
      <c r="A8">
        <f>'Annual Parameters'!B47</f>
        <v>2008</v>
      </c>
      <c r="B8" s="195">
        <f>'Annual Parameters'!T47</f>
        <v>-1.4384372753376562</v>
      </c>
      <c r="C8" s="195">
        <f>'Annual Parameters'!U47</f>
        <v>-1.4384372753376562</v>
      </c>
    </row>
    <row r="9" spans="1:14" ht="14.45" x14ac:dyDescent="0.3">
      <c r="A9">
        <f>'Annual Parameters'!B48</f>
        <v>2009</v>
      </c>
      <c r="B9" s="195">
        <f>'Annual Parameters'!T48</f>
        <v>-4.9987903145161212</v>
      </c>
      <c r="C9" s="195">
        <f>'Annual Parameters'!U48</f>
        <v>-4.9987903145161212</v>
      </c>
      <c r="D9" t="s">
        <v>4</v>
      </c>
      <c r="E9" t="s">
        <v>3</v>
      </c>
      <c r="F9" t="s">
        <v>2</v>
      </c>
    </row>
    <row r="10" spans="1:14" ht="14.45" x14ac:dyDescent="0.3">
      <c r="A10">
        <f>'Annual Parameters'!B49</f>
        <v>2010</v>
      </c>
      <c r="B10" s="195">
        <f>'Annual Parameters'!T49</f>
        <v>1.1047747382427087</v>
      </c>
      <c r="C10" s="195">
        <f>'Annual Parameters'!U49</f>
        <v>1.1047747382427087</v>
      </c>
      <c r="D10">
        <v>1</v>
      </c>
      <c r="E10">
        <v>1</v>
      </c>
      <c r="F10" t="s">
        <v>1</v>
      </c>
      <c r="G10" t="s">
        <v>100</v>
      </c>
      <c r="H10" t="s">
        <v>0</v>
      </c>
      <c r="I10" t="s">
        <v>101</v>
      </c>
    </row>
    <row r="11" spans="1:14" ht="14.45" x14ac:dyDescent="0.3">
      <c r="A11">
        <f>'Annual Parameters'!B50</f>
        <v>2011</v>
      </c>
      <c r="B11" s="195">
        <f>'Annual Parameters'!T50</f>
        <v>0.66606201363277329</v>
      </c>
      <c r="C11" s="195">
        <f>'Annual Parameters'!U50</f>
        <v>0.66606201363277329</v>
      </c>
      <c r="D11" s="426">
        <f t="shared" ref="D11:D42" si="0">D10+((1+B11)/100)</f>
        <v>1.0166606201363277</v>
      </c>
      <c r="E11" s="426">
        <f t="shared" ref="E11:E42" si="1">E10+((1+C11)/100)</f>
        <v>1.0166606201363277</v>
      </c>
      <c r="F11" s="426">
        <f>$D11*F$1+$E11*(1-F$1)</f>
        <v>1.0166606201363277</v>
      </c>
      <c r="G11" s="426">
        <f>$D11*G$1+$E11*(1-G$1)</f>
        <v>1.0166606201363277</v>
      </c>
      <c r="H11" s="426">
        <f>$D11*H$1+$E11*(1-H$1)</f>
        <v>1.0166606201363277</v>
      </c>
      <c r="I11" s="426">
        <f>$D11*I$1+$E11*(1-I$1)</f>
        <v>1.0166606201363277</v>
      </c>
    </row>
    <row r="12" spans="1:14" ht="14.45" x14ac:dyDescent="0.3">
      <c r="A12">
        <f>'Annual Parameters'!B51</f>
        <v>2012</v>
      </c>
      <c r="B12" s="195">
        <f>'Annual Parameters'!T51</f>
        <v>0.64523214019394093</v>
      </c>
      <c r="C12" s="195">
        <f>'Annual Parameters'!U51</f>
        <v>0.64523214019394093</v>
      </c>
      <c r="D12" s="426">
        <f t="shared" si="0"/>
        <v>1.0331129415382672</v>
      </c>
      <c r="E12" s="426">
        <f t="shared" si="1"/>
        <v>1.0331129415382672</v>
      </c>
      <c r="F12" s="426">
        <f t="shared" ref="F12:F13" si="2">$D12*F$1+$E12*(1-F$1)</f>
        <v>1.0331129415382672</v>
      </c>
      <c r="G12" s="426">
        <f t="shared" ref="G12:G76" si="3">$D12*G$1+$E12*(1-G$1)</f>
        <v>1.0331129415382674</v>
      </c>
      <c r="H12" s="426">
        <f t="shared" ref="H12:H43" si="4">$D12*H$1+$E12*(1-H$1)</f>
        <v>1.0331129415382674</v>
      </c>
      <c r="I12" s="426">
        <f t="shared" ref="I12:I76" si="5">$D12*I$1+$E12*(1-I$1)</f>
        <v>1.0331129415382672</v>
      </c>
    </row>
    <row r="13" spans="1:14" ht="14.45" x14ac:dyDescent="0.3">
      <c r="A13">
        <f>'Annual Parameters'!B52</f>
        <v>2013</v>
      </c>
      <c r="B13" s="195">
        <f>'Annual Parameters'!T52</f>
        <v>1.2740715721856422</v>
      </c>
      <c r="C13" s="195">
        <f>'Annual Parameters'!U52</f>
        <v>1.2740715721856422</v>
      </c>
      <c r="D13" s="426">
        <f t="shared" si="0"/>
        <v>1.0558536572601236</v>
      </c>
      <c r="E13" s="426">
        <f t="shared" si="1"/>
        <v>1.0558536572601236</v>
      </c>
      <c r="F13" s="426">
        <f t="shared" si="2"/>
        <v>1.0558536572601236</v>
      </c>
      <c r="G13" s="426">
        <f t="shared" si="3"/>
        <v>1.0558536572601236</v>
      </c>
      <c r="H13" s="426">
        <f t="shared" si="4"/>
        <v>1.0558536572601236</v>
      </c>
      <c r="I13" s="426">
        <f t="shared" si="5"/>
        <v>1.0558536572601236</v>
      </c>
    </row>
    <row r="14" spans="1:14" ht="14.45" x14ac:dyDescent="0.3">
      <c r="A14">
        <f>'Annual Parameters'!B53</f>
        <v>2014</v>
      </c>
      <c r="B14" s="195">
        <f>'Annual Parameters'!T53</f>
        <v>2.2868859285257281</v>
      </c>
      <c r="C14" s="195">
        <f>'Annual Parameters'!U53</f>
        <v>2.2868859285257281</v>
      </c>
      <c r="D14" s="426">
        <f t="shared" si="0"/>
        <v>1.0887225165453809</v>
      </c>
      <c r="E14" s="426">
        <f t="shared" si="1"/>
        <v>1.0887225165453809</v>
      </c>
      <c r="F14" s="426">
        <f t="shared" ref="F14:F43" si="6">$D14*F$1+$E14*(1-F$1)</f>
        <v>1.0887225165453809</v>
      </c>
      <c r="G14" s="426">
        <f t="shared" si="3"/>
        <v>1.0887225165453809</v>
      </c>
      <c r="H14" s="426">
        <f t="shared" si="4"/>
        <v>1.0887225165453809</v>
      </c>
      <c r="I14" s="426">
        <f t="shared" si="5"/>
        <v>1.0887225165453809</v>
      </c>
    </row>
    <row r="15" spans="1:14" ht="14.45" x14ac:dyDescent="0.3">
      <c r="A15">
        <f>'Annual Parameters'!B54</f>
        <v>2015</v>
      </c>
      <c r="B15" s="195">
        <f>'Annual Parameters'!T54</f>
        <v>1.4393596785071461</v>
      </c>
      <c r="C15" s="195">
        <f>'Annual Parameters'!U54</f>
        <v>1.4393596785071461</v>
      </c>
      <c r="D15" s="426">
        <f t="shared" si="0"/>
        <v>1.1131161133304524</v>
      </c>
      <c r="E15" s="426">
        <f t="shared" si="1"/>
        <v>1.1131161133304524</v>
      </c>
      <c r="F15" s="426">
        <f t="shared" si="6"/>
        <v>1.1131161133304524</v>
      </c>
      <c r="G15" s="426">
        <f t="shared" si="3"/>
        <v>1.1131161133304524</v>
      </c>
      <c r="H15" s="426">
        <f t="shared" si="4"/>
        <v>1.1131161133304524</v>
      </c>
      <c r="I15" s="426">
        <f t="shared" si="5"/>
        <v>1.1131161133304524</v>
      </c>
    </row>
    <row r="16" spans="1:14" ht="14.45" x14ac:dyDescent="0.3">
      <c r="A16">
        <f>'Annual Parameters'!B55</f>
        <v>2016</v>
      </c>
      <c r="B16" s="195">
        <f>'Annual Parameters'!T55</f>
        <v>1.2606368327593431</v>
      </c>
      <c r="C16" s="195">
        <f>'Annual Parameters'!U55</f>
        <v>1.2606368327593431</v>
      </c>
      <c r="D16" s="426">
        <f t="shared" si="0"/>
        <v>1.1357224816580458</v>
      </c>
      <c r="E16" s="426">
        <f t="shared" si="1"/>
        <v>1.1357224816580458</v>
      </c>
      <c r="F16" s="426">
        <f t="shared" si="6"/>
        <v>1.1357224816580458</v>
      </c>
      <c r="G16" s="426">
        <f t="shared" si="3"/>
        <v>1.1357224816580458</v>
      </c>
      <c r="H16" s="426">
        <f t="shared" si="4"/>
        <v>1.1357224816580458</v>
      </c>
      <c r="I16" s="426">
        <f t="shared" si="5"/>
        <v>1.1357224816580458</v>
      </c>
    </row>
    <row r="17" spans="1:9" ht="14.45" x14ac:dyDescent="0.3">
      <c r="A17">
        <f>'Annual Parameters'!B56</f>
        <v>2017</v>
      </c>
      <c r="B17" s="195">
        <f>'Annual Parameters'!T56</f>
        <v>1.4918598717946763</v>
      </c>
      <c r="C17" s="195">
        <f>'Annual Parameters'!U56</f>
        <v>1.4918598717946763</v>
      </c>
      <c r="D17" s="426">
        <f t="shared" si="0"/>
        <v>1.1606410803759926</v>
      </c>
      <c r="E17" s="426">
        <f t="shared" si="1"/>
        <v>1.1606410803759926</v>
      </c>
      <c r="F17" s="426">
        <f t="shared" si="6"/>
        <v>1.1606410803759926</v>
      </c>
      <c r="G17" s="426">
        <f t="shared" si="3"/>
        <v>1.1606410803759926</v>
      </c>
      <c r="H17" s="426">
        <f t="shared" si="4"/>
        <v>1.1606410803759926</v>
      </c>
      <c r="I17" s="426">
        <f t="shared" si="5"/>
        <v>1.1606410803759926</v>
      </c>
    </row>
    <row r="18" spans="1:9" ht="14.45" x14ac:dyDescent="0.3">
      <c r="A18">
        <f>'Annual Parameters'!B57</f>
        <v>2018</v>
      </c>
      <c r="B18" s="195">
        <f>'Annual Parameters'!T57</f>
        <v>1.3983679798402537</v>
      </c>
      <c r="C18" s="195">
        <f>'Annual Parameters'!U57</f>
        <v>1.3983679798402537</v>
      </c>
      <c r="D18" s="426">
        <f t="shared" si="0"/>
        <v>1.1846247601743951</v>
      </c>
      <c r="E18" s="426">
        <f t="shared" si="1"/>
        <v>1.1846247601743951</v>
      </c>
      <c r="F18" s="426">
        <f t="shared" si="6"/>
        <v>1.1846247601743951</v>
      </c>
      <c r="G18" s="426">
        <f t="shared" si="3"/>
        <v>1.1846247601743953</v>
      </c>
      <c r="H18" s="426">
        <f t="shared" si="4"/>
        <v>1.1846247601743953</v>
      </c>
      <c r="I18" s="426">
        <f t="shared" si="5"/>
        <v>1.1846247601743951</v>
      </c>
    </row>
    <row r="19" spans="1:9" ht="14.45" x14ac:dyDescent="0.3">
      <c r="A19">
        <f>'Annual Parameters'!B58</f>
        <v>2019</v>
      </c>
      <c r="B19" s="195">
        <f>'Annual Parameters'!T58</f>
        <v>1.4273363900310532</v>
      </c>
      <c r="C19" s="195">
        <f>'Annual Parameters'!U58</f>
        <v>1.4273363900310532</v>
      </c>
      <c r="D19" s="426">
        <f t="shared" si="0"/>
        <v>1.2088981240747056</v>
      </c>
      <c r="E19" s="426">
        <f t="shared" si="1"/>
        <v>1.2088981240747056</v>
      </c>
      <c r="F19" s="426">
        <f t="shared" si="6"/>
        <v>1.2088981240747056</v>
      </c>
      <c r="G19" s="426">
        <f t="shared" si="3"/>
        <v>1.2088981240747059</v>
      </c>
      <c r="H19" s="426">
        <f t="shared" si="4"/>
        <v>1.2088981240747059</v>
      </c>
      <c r="I19" s="426">
        <f t="shared" si="5"/>
        <v>1.2088981240747056</v>
      </c>
    </row>
    <row r="20" spans="1:9" s="424" customFormat="1" ht="14.45" x14ac:dyDescent="0.3">
      <c r="A20" s="424">
        <f>'Annual Parameters'!B59</f>
        <v>2020</v>
      </c>
      <c r="B20" s="425">
        <f>'Annual Parameters'!T59</f>
        <v>1.4453878651563112</v>
      </c>
      <c r="C20" s="425">
        <f>'Annual Parameters'!U59</f>
        <v>1.4453878651563112</v>
      </c>
      <c r="D20" s="427">
        <f t="shared" si="0"/>
        <v>1.2333520027262688</v>
      </c>
      <c r="E20" s="427">
        <f t="shared" si="1"/>
        <v>1.2333520027262688</v>
      </c>
      <c r="F20" s="427">
        <f t="shared" si="6"/>
        <v>1.233352002726269</v>
      </c>
      <c r="G20" s="427">
        <f t="shared" si="3"/>
        <v>1.2333520027262688</v>
      </c>
      <c r="H20" s="427">
        <f t="shared" si="4"/>
        <v>1.2333520027262688</v>
      </c>
      <c r="I20" s="427">
        <f t="shared" si="5"/>
        <v>1.2333520027262688</v>
      </c>
    </row>
    <row r="21" spans="1:9" ht="14.45" x14ac:dyDescent="0.3">
      <c r="A21">
        <f>'Annual Parameters'!B60</f>
        <v>2021</v>
      </c>
      <c r="B21" s="195">
        <f>'Annual Parameters'!T60</f>
        <v>1.7570005068691552</v>
      </c>
      <c r="C21" s="195">
        <f>'Annual Parameters'!U60</f>
        <v>1.7570005068691552</v>
      </c>
      <c r="D21" s="426">
        <f t="shared" si="0"/>
        <v>1.2609220077949603</v>
      </c>
      <c r="E21" s="426">
        <f t="shared" si="1"/>
        <v>1.2609220077949603</v>
      </c>
      <c r="F21" s="426">
        <f t="shared" si="6"/>
        <v>1.2609220077949603</v>
      </c>
      <c r="G21" s="426">
        <f t="shared" si="3"/>
        <v>1.2609220077949606</v>
      </c>
      <c r="H21" s="426">
        <f t="shared" si="4"/>
        <v>1.2609220077949606</v>
      </c>
      <c r="I21" s="426">
        <f t="shared" si="5"/>
        <v>1.2609220077949606</v>
      </c>
    </row>
    <row r="22" spans="1:9" ht="14.45" x14ac:dyDescent="0.3">
      <c r="A22">
        <f>'Annual Parameters'!B61</f>
        <v>2022</v>
      </c>
      <c r="B22" s="195">
        <f>'Annual Parameters'!T61</f>
        <v>1.7687517583391266</v>
      </c>
      <c r="C22" s="195">
        <f>'Annual Parameters'!U61</f>
        <v>1.7687517583391266</v>
      </c>
      <c r="D22" s="426">
        <f t="shared" si="0"/>
        <v>1.2886095253783516</v>
      </c>
      <c r="E22" s="426">
        <f t="shared" si="1"/>
        <v>1.2886095253783516</v>
      </c>
      <c r="F22" s="426">
        <f t="shared" si="6"/>
        <v>1.2886095253783516</v>
      </c>
      <c r="G22" s="426">
        <f t="shared" si="3"/>
        <v>1.2886095253783516</v>
      </c>
      <c r="H22" s="426">
        <f t="shared" si="4"/>
        <v>1.2886095253783516</v>
      </c>
      <c r="I22" s="426">
        <f t="shared" si="5"/>
        <v>1.2886095253783516</v>
      </c>
    </row>
    <row r="23" spans="1:9" ht="14.45" x14ac:dyDescent="0.3">
      <c r="A23">
        <f>'Annual Parameters'!B62</f>
        <v>2023</v>
      </c>
      <c r="B23" s="195">
        <f>'Annual Parameters'!T62</f>
        <v>1.7817231911684051</v>
      </c>
      <c r="C23" s="195">
        <f>'Annual Parameters'!U62</f>
        <v>1.7817231911684051</v>
      </c>
      <c r="D23" s="426">
        <f t="shared" si="0"/>
        <v>1.3164267572900357</v>
      </c>
      <c r="E23" s="426">
        <f t="shared" si="1"/>
        <v>1.3164267572900357</v>
      </c>
      <c r="F23" s="426">
        <f t="shared" si="6"/>
        <v>1.3164267572900357</v>
      </c>
      <c r="G23" s="426">
        <f t="shared" si="3"/>
        <v>1.3164267572900357</v>
      </c>
      <c r="H23" s="426">
        <f t="shared" si="4"/>
        <v>1.3164267572900357</v>
      </c>
      <c r="I23" s="426">
        <f t="shared" si="5"/>
        <v>1.3164267572900357</v>
      </c>
    </row>
    <row r="24" spans="1:9" ht="14.45" x14ac:dyDescent="0.3">
      <c r="A24">
        <f>'Annual Parameters'!B63</f>
        <v>2024</v>
      </c>
      <c r="B24" s="195">
        <f>'Annual Parameters'!T63</f>
        <v>1.8953454176857898</v>
      </c>
      <c r="C24" s="195">
        <f>'Annual Parameters'!U63</f>
        <v>1.8953454176857898</v>
      </c>
      <c r="D24" s="426">
        <f t="shared" si="0"/>
        <v>1.3453802114668936</v>
      </c>
      <c r="E24" s="426">
        <f t="shared" si="1"/>
        <v>1.3453802114668936</v>
      </c>
      <c r="F24" s="426">
        <f t="shared" si="6"/>
        <v>1.3453802114668938</v>
      </c>
      <c r="G24" s="426">
        <f t="shared" si="3"/>
        <v>1.3453802114668938</v>
      </c>
      <c r="H24" s="426">
        <f t="shared" si="4"/>
        <v>1.3453802114668938</v>
      </c>
      <c r="I24" s="426">
        <f t="shared" si="5"/>
        <v>1.3453802114668936</v>
      </c>
    </row>
    <row r="25" spans="1:9" ht="14.45" x14ac:dyDescent="0.3">
      <c r="A25">
        <f>'Annual Parameters'!B64</f>
        <v>2025</v>
      </c>
      <c r="B25" s="195">
        <f>'Annual Parameters'!T64</f>
        <v>1.9105356381704741</v>
      </c>
      <c r="C25" s="195">
        <f>'Annual Parameters'!U64</f>
        <v>1.9105356381704741</v>
      </c>
      <c r="D25" s="426">
        <f t="shared" si="0"/>
        <v>1.3744855678485983</v>
      </c>
      <c r="E25" s="426">
        <f t="shared" si="1"/>
        <v>1.3744855678485983</v>
      </c>
      <c r="F25" s="426">
        <f t="shared" si="6"/>
        <v>1.3744855678485983</v>
      </c>
      <c r="G25" s="426">
        <f t="shared" si="3"/>
        <v>1.3744855678485985</v>
      </c>
      <c r="H25" s="426">
        <f t="shared" si="4"/>
        <v>1.3744855678485985</v>
      </c>
      <c r="I25" s="426">
        <f t="shared" si="5"/>
        <v>1.3744855678485983</v>
      </c>
    </row>
    <row r="26" spans="1:9" ht="14.45" x14ac:dyDescent="0.3">
      <c r="A26">
        <f>'Annual Parameters'!B65</f>
        <v>2026</v>
      </c>
      <c r="B26" s="195">
        <f>'Annual Parameters'!T65</f>
        <v>1.9266603166554042</v>
      </c>
      <c r="C26" s="195">
        <f>'Annual Parameters'!U65</f>
        <v>1.9266603166554042</v>
      </c>
      <c r="D26" s="426">
        <f t="shared" si="0"/>
        <v>1.4037521710151524</v>
      </c>
      <c r="E26" s="426">
        <f t="shared" si="1"/>
        <v>1.4037521710151524</v>
      </c>
      <c r="F26" s="426">
        <f t="shared" si="6"/>
        <v>1.4037521710151524</v>
      </c>
      <c r="G26" s="426">
        <f t="shared" si="3"/>
        <v>1.4037521710151526</v>
      </c>
      <c r="H26" s="426">
        <f t="shared" si="4"/>
        <v>1.4037521710151526</v>
      </c>
      <c r="I26" s="426">
        <f t="shared" si="5"/>
        <v>1.4037521710151524</v>
      </c>
    </row>
    <row r="27" spans="1:9" ht="14.45" x14ac:dyDescent="0.3">
      <c r="A27">
        <f>'Annual Parameters'!B66</f>
        <v>2027</v>
      </c>
      <c r="B27" s="195">
        <f>'Annual Parameters'!T66</f>
        <v>1.943277982127678</v>
      </c>
      <c r="C27" s="195">
        <f>'Annual Parameters'!U66</f>
        <v>1.943277982127678</v>
      </c>
      <c r="D27" s="426">
        <f t="shared" si="0"/>
        <v>1.4331849508364292</v>
      </c>
      <c r="E27" s="426">
        <f t="shared" si="1"/>
        <v>1.4331849508364292</v>
      </c>
      <c r="F27" s="426">
        <f t="shared" si="6"/>
        <v>1.4331849508364292</v>
      </c>
      <c r="G27" s="426">
        <f t="shared" si="3"/>
        <v>1.4331849508364294</v>
      </c>
      <c r="H27" s="426">
        <f t="shared" si="4"/>
        <v>1.4331849508364294</v>
      </c>
      <c r="I27" s="426">
        <f t="shared" si="5"/>
        <v>1.4331849508364289</v>
      </c>
    </row>
    <row r="28" spans="1:9" ht="14.45" x14ac:dyDescent="0.3">
      <c r="A28">
        <f>'Annual Parameters'!B67</f>
        <v>2028</v>
      </c>
      <c r="B28" s="195">
        <f>'Annual Parameters'!T67</f>
        <v>1.9599526684332957</v>
      </c>
      <c r="C28" s="195">
        <f>'Annual Parameters'!U67</f>
        <v>1.9599526684332957</v>
      </c>
      <c r="D28" s="426">
        <f t="shared" si="0"/>
        <v>1.4627844775207621</v>
      </c>
      <c r="E28" s="426">
        <f t="shared" si="1"/>
        <v>1.4627844775207621</v>
      </c>
      <c r="F28" s="426">
        <f t="shared" si="6"/>
        <v>1.4627844775207621</v>
      </c>
      <c r="G28" s="426">
        <f t="shared" si="3"/>
        <v>1.4627844775207621</v>
      </c>
      <c r="H28" s="426">
        <f t="shared" si="4"/>
        <v>1.4627844775207621</v>
      </c>
      <c r="I28" s="426">
        <f t="shared" si="5"/>
        <v>1.4627844775207621</v>
      </c>
    </row>
    <row r="29" spans="1:9" ht="14.45" x14ac:dyDescent="0.3">
      <c r="A29">
        <f>'Annual Parameters'!B68</f>
        <v>2029</v>
      </c>
      <c r="B29" s="195">
        <f>'Annual Parameters'!T68</f>
        <v>1.9766510720811148</v>
      </c>
      <c r="C29" s="195">
        <f>'Annual Parameters'!U68</f>
        <v>1.9766510720811148</v>
      </c>
      <c r="D29" s="426">
        <f t="shared" si="0"/>
        <v>1.4925509882415733</v>
      </c>
      <c r="E29" s="426">
        <f t="shared" si="1"/>
        <v>1.4925509882415733</v>
      </c>
      <c r="F29" s="426">
        <f t="shared" si="6"/>
        <v>1.4925509882415731</v>
      </c>
      <c r="G29" s="426">
        <f t="shared" si="3"/>
        <v>1.4925509882415735</v>
      </c>
      <c r="H29" s="426">
        <f t="shared" si="4"/>
        <v>1.4925509882415735</v>
      </c>
      <c r="I29" s="426">
        <f t="shared" si="5"/>
        <v>1.4925509882415733</v>
      </c>
    </row>
    <row r="30" spans="1:9" ht="14.45" x14ac:dyDescent="0.3">
      <c r="A30">
        <f>'Annual Parameters'!B69</f>
        <v>2030</v>
      </c>
      <c r="B30" s="195">
        <f>'Annual Parameters'!T69</f>
        <v>1.992982012588862</v>
      </c>
      <c r="C30" s="195">
        <f>'Annual Parameters'!U69</f>
        <v>1.992982012588862</v>
      </c>
      <c r="D30" s="426">
        <f t="shared" si="0"/>
        <v>1.5224808083674619</v>
      </c>
      <c r="E30" s="426">
        <f t="shared" si="1"/>
        <v>1.5224808083674619</v>
      </c>
      <c r="F30" s="426">
        <f t="shared" si="6"/>
        <v>1.5224808083674619</v>
      </c>
      <c r="G30" s="426">
        <f t="shared" si="3"/>
        <v>1.5224808083674621</v>
      </c>
      <c r="H30" s="426">
        <f t="shared" si="4"/>
        <v>1.5224808083674621</v>
      </c>
      <c r="I30" s="426">
        <f t="shared" si="5"/>
        <v>1.5224808083674619</v>
      </c>
    </row>
    <row r="31" spans="1:9" ht="14.45" x14ac:dyDescent="0.3">
      <c r="A31">
        <f>'Annual Parameters'!B70</f>
        <v>2031</v>
      </c>
      <c r="B31" s="195">
        <f>'Annual Parameters'!T70</f>
        <v>2.0088180204986594</v>
      </c>
      <c r="C31" s="195">
        <f>'Annual Parameters'!U70</f>
        <v>2.0088180204986594</v>
      </c>
      <c r="D31" s="426">
        <f t="shared" si="0"/>
        <v>1.5525689885724485</v>
      </c>
      <c r="E31" s="426">
        <f t="shared" si="1"/>
        <v>1.5525689885724485</v>
      </c>
      <c r="F31" s="426">
        <f t="shared" si="6"/>
        <v>1.5525689885724485</v>
      </c>
      <c r="G31" s="426">
        <f t="shared" si="3"/>
        <v>1.5525689885724487</v>
      </c>
      <c r="H31" s="426">
        <f t="shared" si="4"/>
        <v>1.5525689885724487</v>
      </c>
      <c r="I31" s="426">
        <f t="shared" si="5"/>
        <v>1.5525689885724485</v>
      </c>
    </row>
    <row r="32" spans="1:9" ht="14.45" x14ac:dyDescent="0.3">
      <c r="A32">
        <f>'Annual Parameters'!B71</f>
        <v>2032</v>
      </c>
      <c r="B32" s="195">
        <f>'Annual Parameters'!T71</f>
        <v>2.0238848061036263</v>
      </c>
      <c r="C32" s="195">
        <f>'Annual Parameters'!U71</f>
        <v>2.0238848061036263</v>
      </c>
      <c r="D32" s="426">
        <f t="shared" si="0"/>
        <v>1.5828078366334848</v>
      </c>
      <c r="E32" s="426">
        <f t="shared" si="1"/>
        <v>1.5828078366334848</v>
      </c>
      <c r="F32" s="426">
        <f t="shared" si="6"/>
        <v>1.5828078366334848</v>
      </c>
      <c r="G32" s="426">
        <f t="shared" si="3"/>
        <v>1.5828078366334848</v>
      </c>
      <c r="H32" s="426">
        <f t="shared" si="4"/>
        <v>1.5828078366334848</v>
      </c>
      <c r="I32" s="426">
        <f t="shared" si="5"/>
        <v>1.5828078366334846</v>
      </c>
    </row>
    <row r="33" spans="1:9" ht="14.45" x14ac:dyDescent="0.3">
      <c r="A33">
        <f>'Annual Parameters'!B72</f>
        <v>2033</v>
      </c>
      <c r="B33" s="195">
        <f>'Annual Parameters'!T72</f>
        <v>2.0378937873497982</v>
      </c>
      <c r="C33" s="195">
        <f>'Annual Parameters'!U72</f>
        <v>2.0378937873497982</v>
      </c>
      <c r="D33" s="426">
        <f t="shared" si="0"/>
        <v>1.6131867745069828</v>
      </c>
      <c r="E33" s="426">
        <f t="shared" si="1"/>
        <v>1.6131867745069828</v>
      </c>
      <c r="F33" s="426">
        <f t="shared" si="6"/>
        <v>1.6131867745069828</v>
      </c>
      <c r="G33" s="426">
        <f t="shared" si="3"/>
        <v>1.613186774506983</v>
      </c>
      <c r="H33" s="426">
        <f t="shared" si="4"/>
        <v>1.613186774506983</v>
      </c>
      <c r="I33" s="426">
        <f t="shared" si="5"/>
        <v>1.6131867745069828</v>
      </c>
    </row>
    <row r="34" spans="1:9" ht="14.45" x14ac:dyDescent="0.3">
      <c r="A34">
        <f>'Annual Parameters'!B73</f>
        <v>2034</v>
      </c>
      <c r="B34" s="195">
        <f>'Annual Parameters'!T73</f>
        <v>2.1499934012615185</v>
      </c>
      <c r="C34" s="195">
        <f>'Annual Parameters'!U73</f>
        <v>2.1499934012615185</v>
      </c>
      <c r="D34" s="426">
        <f t="shared" si="0"/>
        <v>1.644686708519598</v>
      </c>
      <c r="E34" s="426">
        <f t="shared" si="1"/>
        <v>1.644686708519598</v>
      </c>
      <c r="F34" s="426">
        <f t="shared" si="6"/>
        <v>1.644686708519598</v>
      </c>
      <c r="G34" s="426">
        <f t="shared" si="3"/>
        <v>1.6446867085195982</v>
      </c>
      <c r="H34" s="426">
        <f t="shared" si="4"/>
        <v>1.6446867085195982</v>
      </c>
      <c r="I34" s="426">
        <f t="shared" si="5"/>
        <v>1.644686708519598</v>
      </c>
    </row>
    <row r="35" spans="1:9" x14ac:dyDescent="0.25">
      <c r="A35">
        <f>'Annual Parameters'!B74</f>
        <v>2035</v>
      </c>
      <c r="B35" s="195">
        <f>'Annual Parameters'!T74</f>
        <v>2.0614325923496546</v>
      </c>
      <c r="C35" s="195">
        <f>'Annual Parameters'!U74</f>
        <v>2.0614325923496546</v>
      </c>
      <c r="D35" s="426">
        <f t="shared" si="0"/>
        <v>1.6753010344430945</v>
      </c>
      <c r="E35" s="426">
        <f t="shared" si="1"/>
        <v>1.6753010344430945</v>
      </c>
      <c r="F35" s="426">
        <f t="shared" si="6"/>
        <v>1.6753010344430945</v>
      </c>
      <c r="G35" s="426">
        <f t="shared" si="3"/>
        <v>1.6753010344430945</v>
      </c>
      <c r="H35" s="426">
        <f t="shared" si="4"/>
        <v>1.6753010344430945</v>
      </c>
      <c r="I35" s="426">
        <f t="shared" si="5"/>
        <v>1.6753010344430945</v>
      </c>
    </row>
    <row r="36" spans="1:9" x14ac:dyDescent="0.25">
      <c r="A36">
        <f>'Annual Parameters'!B75</f>
        <v>2036</v>
      </c>
      <c r="B36" s="195">
        <f>'Annual Parameters'!T75</f>
        <v>2.0708777490589414</v>
      </c>
      <c r="C36" s="195">
        <f>'Annual Parameters'!U75</f>
        <v>2.0708777490589414</v>
      </c>
      <c r="D36" s="426">
        <f t="shared" si="0"/>
        <v>1.706009811933684</v>
      </c>
      <c r="E36" s="426">
        <f t="shared" si="1"/>
        <v>1.706009811933684</v>
      </c>
      <c r="F36" s="426">
        <f t="shared" si="6"/>
        <v>1.7060098119336842</v>
      </c>
      <c r="G36" s="426">
        <f t="shared" si="3"/>
        <v>1.7060098119336842</v>
      </c>
      <c r="H36" s="426">
        <f t="shared" si="4"/>
        <v>1.7060098119336842</v>
      </c>
      <c r="I36" s="426">
        <f t="shared" si="5"/>
        <v>1.706009811933684</v>
      </c>
    </row>
    <row r="37" spans="1:9" x14ac:dyDescent="0.25">
      <c r="A37">
        <f>'Annual Parameters'!B76</f>
        <v>2037</v>
      </c>
      <c r="B37" s="195">
        <f>'Annual Parameters'!T76</f>
        <v>2.0787405443449369</v>
      </c>
      <c r="C37" s="195">
        <f>'Annual Parameters'!U76</f>
        <v>2.0787405443449369</v>
      </c>
      <c r="D37" s="426">
        <f t="shared" si="0"/>
        <v>1.7367972173771333</v>
      </c>
      <c r="E37" s="426">
        <f t="shared" si="1"/>
        <v>1.7367972173771333</v>
      </c>
      <c r="F37" s="426">
        <f t="shared" si="6"/>
        <v>1.7367972173771333</v>
      </c>
      <c r="G37" s="426">
        <f t="shared" si="3"/>
        <v>1.7367972173771333</v>
      </c>
      <c r="H37" s="426">
        <f t="shared" si="4"/>
        <v>1.7367972173771333</v>
      </c>
      <c r="I37" s="426">
        <f t="shared" si="5"/>
        <v>1.7367972173771333</v>
      </c>
    </row>
    <row r="38" spans="1:9" x14ac:dyDescent="0.25">
      <c r="A38">
        <f>'Annual Parameters'!B77</f>
        <v>2038</v>
      </c>
      <c r="B38" s="195">
        <f>'Annual Parameters'!T77</f>
        <v>2.092373457746155</v>
      </c>
      <c r="C38" s="195">
        <f>'Annual Parameters'!U77</f>
        <v>2.092373457746155</v>
      </c>
      <c r="D38" s="426">
        <f t="shared" si="0"/>
        <v>1.7677209519545949</v>
      </c>
      <c r="E38" s="426">
        <f t="shared" si="1"/>
        <v>1.7677209519545949</v>
      </c>
      <c r="F38" s="426">
        <f t="shared" si="6"/>
        <v>1.7677209519545949</v>
      </c>
      <c r="G38" s="426">
        <f t="shared" si="3"/>
        <v>1.7677209519545949</v>
      </c>
      <c r="H38" s="426">
        <f t="shared" si="4"/>
        <v>1.7677209519545949</v>
      </c>
      <c r="I38" s="426">
        <f t="shared" si="5"/>
        <v>1.7677209519545949</v>
      </c>
    </row>
    <row r="39" spans="1:9" x14ac:dyDescent="0.25">
      <c r="A39">
        <f>'Annual Parameters'!B78</f>
        <v>2039</v>
      </c>
      <c r="B39" s="195">
        <f>'Annual Parameters'!T78</f>
        <v>2.092373457746155</v>
      </c>
      <c r="C39" s="195">
        <f>'Annual Parameters'!U78</f>
        <v>2.092373457746155</v>
      </c>
      <c r="D39" s="426">
        <f t="shared" si="0"/>
        <v>1.7986446865320564</v>
      </c>
      <c r="E39" s="426">
        <f t="shared" si="1"/>
        <v>1.7986446865320564</v>
      </c>
      <c r="F39" s="426">
        <f t="shared" si="6"/>
        <v>1.7986446865320564</v>
      </c>
      <c r="G39" s="426">
        <f t="shared" si="3"/>
        <v>1.7986446865320567</v>
      </c>
      <c r="H39" s="426">
        <f t="shared" si="4"/>
        <v>1.7986446865320567</v>
      </c>
      <c r="I39" s="426">
        <f t="shared" si="5"/>
        <v>1.7986446865320564</v>
      </c>
    </row>
    <row r="40" spans="1:9" x14ac:dyDescent="0.25">
      <c r="A40">
        <f>'Annual Parameters'!B79</f>
        <v>2040</v>
      </c>
      <c r="B40" s="195">
        <f>'Annual Parameters'!T79</f>
        <v>2.092373457746155</v>
      </c>
      <c r="C40" s="195">
        <f>'Annual Parameters'!U79</f>
        <v>2.092373457746155</v>
      </c>
      <c r="D40" s="426">
        <f t="shared" si="0"/>
        <v>1.829568421109518</v>
      </c>
      <c r="E40" s="426">
        <f t="shared" si="1"/>
        <v>1.829568421109518</v>
      </c>
      <c r="F40" s="426">
        <f t="shared" si="6"/>
        <v>1.829568421109518</v>
      </c>
      <c r="G40" s="426">
        <f t="shared" si="3"/>
        <v>1.829568421109518</v>
      </c>
      <c r="H40" s="426">
        <f t="shared" si="4"/>
        <v>1.829568421109518</v>
      </c>
      <c r="I40" s="426">
        <f t="shared" si="5"/>
        <v>1.829568421109518</v>
      </c>
    </row>
    <row r="41" spans="1:9" x14ac:dyDescent="0.25">
      <c r="A41">
        <f>'Annual Parameters'!B80</f>
        <v>2041</v>
      </c>
      <c r="B41" s="195">
        <f>'Annual Parameters'!T80</f>
        <v>2.092373457746155</v>
      </c>
      <c r="C41" s="195">
        <f>'Annual Parameters'!U80</f>
        <v>2.092373457746155</v>
      </c>
      <c r="D41" s="426">
        <f t="shared" si="0"/>
        <v>1.8604921556869796</v>
      </c>
      <c r="E41" s="426">
        <f t="shared" si="1"/>
        <v>1.8604921556869796</v>
      </c>
      <c r="F41" s="426">
        <f t="shared" si="6"/>
        <v>1.8604921556869796</v>
      </c>
      <c r="G41" s="426">
        <f t="shared" si="3"/>
        <v>1.8604921556869798</v>
      </c>
      <c r="H41" s="426">
        <f t="shared" si="4"/>
        <v>1.8604921556869798</v>
      </c>
      <c r="I41" s="426">
        <f t="shared" si="5"/>
        <v>1.8604921556869796</v>
      </c>
    </row>
    <row r="42" spans="1:9" x14ac:dyDescent="0.25">
      <c r="A42">
        <f>'Annual Parameters'!B81</f>
        <v>2042</v>
      </c>
      <c r="B42" s="195">
        <f>'Annual Parameters'!T81</f>
        <v>2.1108068510801159</v>
      </c>
      <c r="C42" s="195">
        <f>'Annual Parameters'!U81</f>
        <v>2.1108068510801159</v>
      </c>
      <c r="D42" s="426">
        <f t="shared" si="0"/>
        <v>1.8916002241977807</v>
      </c>
      <c r="E42" s="426">
        <f t="shared" si="1"/>
        <v>1.8916002241977807</v>
      </c>
      <c r="F42" s="426">
        <f t="shared" si="6"/>
        <v>1.8916002241977807</v>
      </c>
      <c r="G42" s="426">
        <f t="shared" si="3"/>
        <v>1.891600224197781</v>
      </c>
      <c r="H42" s="426">
        <f t="shared" si="4"/>
        <v>1.891600224197781</v>
      </c>
      <c r="I42" s="426">
        <f t="shared" si="5"/>
        <v>1.8916002241977807</v>
      </c>
    </row>
    <row r="43" spans="1:9" x14ac:dyDescent="0.25">
      <c r="A43">
        <f>'Annual Parameters'!B82</f>
        <v>2043</v>
      </c>
      <c r="B43" s="195">
        <f>'Annual Parameters'!T82</f>
        <v>2.1108068510801159</v>
      </c>
      <c r="C43" s="195">
        <f>'Annual Parameters'!U82</f>
        <v>2.1108068510801159</v>
      </c>
      <c r="D43" s="426">
        <f t="shared" ref="D43:D75" si="7">D42+((1+B43)/100)</f>
        <v>1.9227082927085819</v>
      </c>
      <c r="E43" s="426">
        <f t="shared" ref="E43:E75" si="8">E42+((1+C43)/100)</f>
        <v>1.9227082927085819</v>
      </c>
      <c r="F43" s="426">
        <f t="shared" si="6"/>
        <v>1.9227082927085819</v>
      </c>
      <c r="G43" s="426">
        <f t="shared" si="3"/>
        <v>1.9227082927085821</v>
      </c>
      <c r="H43" s="426">
        <f t="shared" si="4"/>
        <v>1.9227082927085821</v>
      </c>
      <c r="I43" s="426">
        <f t="shared" si="5"/>
        <v>1.9227082927085819</v>
      </c>
    </row>
    <row r="44" spans="1:9" x14ac:dyDescent="0.25">
      <c r="A44">
        <f>'Annual Parameters'!B83</f>
        <v>2044</v>
      </c>
      <c r="B44" s="195">
        <f>'Annual Parameters'!T83</f>
        <v>2.1108068510801159</v>
      </c>
      <c r="C44" s="195">
        <f>'Annual Parameters'!U83</f>
        <v>2.1108068510801159</v>
      </c>
      <c r="D44" s="426">
        <f t="shared" si="7"/>
        <v>1.9538163612193831</v>
      </c>
      <c r="E44" s="426">
        <f t="shared" si="8"/>
        <v>1.9538163612193831</v>
      </c>
      <c r="F44" s="426">
        <f t="shared" ref="F44:G77" si="9">$D44*F$1+$E44*(1-F$1)</f>
        <v>1.9538163612193831</v>
      </c>
      <c r="G44" s="426">
        <f t="shared" si="3"/>
        <v>1.9538163612193833</v>
      </c>
      <c r="H44" s="426">
        <f t="shared" ref="H44:I77" si="10">$D44*H$1+$E44*(1-H$1)</f>
        <v>1.9538163612193833</v>
      </c>
      <c r="I44" s="426">
        <f t="shared" si="5"/>
        <v>1.9538163612193831</v>
      </c>
    </row>
    <row r="45" spans="1:9" x14ac:dyDescent="0.25">
      <c r="A45">
        <f>'Annual Parameters'!B84</f>
        <v>2045</v>
      </c>
      <c r="B45" s="195">
        <f>'Annual Parameters'!T84</f>
        <v>2.1108068510801159</v>
      </c>
      <c r="C45" s="195">
        <f>'Annual Parameters'!U84</f>
        <v>2.1108068510801159</v>
      </c>
      <c r="D45" s="426">
        <f t="shared" si="7"/>
        <v>1.9849244297301842</v>
      </c>
      <c r="E45" s="426">
        <f t="shared" si="8"/>
        <v>1.9849244297301842</v>
      </c>
      <c r="F45" s="426">
        <f t="shared" si="9"/>
        <v>1.9849244297301842</v>
      </c>
      <c r="G45" s="426">
        <f t="shared" si="3"/>
        <v>1.9849244297301845</v>
      </c>
      <c r="H45" s="426">
        <f t="shared" si="10"/>
        <v>1.9849244297301845</v>
      </c>
      <c r="I45" s="426">
        <f t="shared" si="5"/>
        <v>1.9849244297301842</v>
      </c>
    </row>
    <row r="46" spans="1:9" x14ac:dyDescent="0.25">
      <c r="A46">
        <f>'Annual Parameters'!B85</f>
        <v>2046</v>
      </c>
      <c r="B46" s="195">
        <f>'Annual Parameters'!T85</f>
        <v>2.2104271504470141</v>
      </c>
      <c r="C46" s="195">
        <f>'Annual Parameters'!U85</f>
        <v>2.2104271504470141</v>
      </c>
      <c r="D46" s="426">
        <f t="shared" si="7"/>
        <v>2.0170287012346542</v>
      </c>
      <c r="E46" s="426">
        <f t="shared" si="8"/>
        <v>2.0170287012346542</v>
      </c>
      <c r="F46" s="426">
        <f t="shared" si="9"/>
        <v>2.0170287012346542</v>
      </c>
      <c r="G46" s="426">
        <f t="shared" si="3"/>
        <v>2.0170287012346542</v>
      </c>
      <c r="H46" s="426">
        <f t="shared" si="10"/>
        <v>2.0170287012346542</v>
      </c>
      <c r="I46" s="426">
        <f t="shared" si="5"/>
        <v>2.0170287012346542</v>
      </c>
    </row>
    <row r="47" spans="1:9" x14ac:dyDescent="0.25">
      <c r="A47">
        <f>'Annual Parameters'!B86</f>
        <v>2047</v>
      </c>
      <c r="B47" s="195">
        <f>'Annual Parameters'!T86</f>
        <v>2.1377305469136409</v>
      </c>
      <c r="C47" s="195">
        <f>'Annual Parameters'!U86</f>
        <v>2.1377305469136409</v>
      </c>
      <c r="D47" s="426">
        <f t="shared" si="7"/>
        <v>2.0484060067037904</v>
      </c>
      <c r="E47" s="426">
        <f t="shared" si="8"/>
        <v>2.0484060067037904</v>
      </c>
      <c r="F47" s="426">
        <f t="shared" si="9"/>
        <v>2.0484060067037904</v>
      </c>
      <c r="G47" s="426">
        <f t="shared" si="3"/>
        <v>2.0484060067037904</v>
      </c>
      <c r="H47" s="426">
        <f t="shared" si="10"/>
        <v>2.0484060067037904</v>
      </c>
      <c r="I47" s="426">
        <f t="shared" si="5"/>
        <v>2.0484060067037904</v>
      </c>
    </row>
    <row r="48" spans="1:9" x14ac:dyDescent="0.25">
      <c r="A48">
        <f>'Annual Parameters'!B87</f>
        <v>2048</v>
      </c>
      <c r="B48" s="195">
        <f>'Annual Parameters'!T87</f>
        <v>2.1377305469136409</v>
      </c>
      <c r="C48" s="195">
        <f>'Annual Parameters'!U87</f>
        <v>2.1377305469136409</v>
      </c>
      <c r="D48" s="426">
        <f t="shared" si="7"/>
        <v>2.0797833121729266</v>
      </c>
      <c r="E48" s="426">
        <f t="shared" si="8"/>
        <v>2.0797833121729266</v>
      </c>
      <c r="F48" s="426">
        <f t="shared" si="9"/>
        <v>2.0797833121729266</v>
      </c>
      <c r="G48" s="426">
        <f t="shared" si="3"/>
        <v>2.0797833121729266</v>
      </c>
      <c r="H48" s="426">
        <f t="shared" si="10"/>
        <v>2.0797833121729266</v>
      </c>
      <c r="I48" s="426">
        <f t="shared" si="5"/>
        <v>2.0797833121729266</v>
      </c>
    </row>
    <row r="49" spans="1:9" x14ac:dyDescent="0.25">
      <c r="A49">
        <f>'Annual Parameters'!B88</f>
        <v>2049</v>
      </c>
      <c r="B49" s="195">
        <f>'Annual Parameters'!T88</f>
        <v>2.1377305469136409</v>
      </c>
      <c r="C49" s="195">
        <f>'Annual Parameters'!U88</f>
        <v>2.1377305469136409</v>
      </c>
      <c r="D49" s="426">
        <f t="shared" si="7"/>
        <v>2.1111606176420628</v>
      </c>
      <c r="E49" s="426">
        <f t="shared" si="8"/>
        <v>2.1111606176420628</v>
      </c>
      <c r="F49" s="426">
        <f t="shared" si="9"/>
        <v>2.1111606176420628</v>
      </c>
      <c r="G49" s="426">
        <f t="shared" si="3"/>
        <v>2.1111606176420628</v>
      </c>
      <c r="H49" s="426">
        <f t="shared" si="10"/>
        <v>2.1111606176420628</v>
      </c>
      <c r="I49" s="426">
        <f t="shared" si="5"/>
        <v>2.1111606176420628</v>
      </c>
    </row>
    <row r="50" spans="1:9" x14ac:dyDescent="0.25">
      <c r="A50">
        <f>'Annual Parameters'!B89</f>
        <v>2050</v>
      </c>
      <c r="B50" s="195">
        <f>'Annual Parameters'!T89</f>
        <v>2.1377305469136409</v>
      </c>
      <c r="C50" s="195">
        <f>'Annual Parameters'!U89</f>
        <v>2.1377305469136409</v>
      </c>
      <c r="D50" s="426">
        <f t="shared" si="7"/>
        <v>2.1425379231111989</v>
      </c>
      <c r="E50" s="426">
        <f t="shared" si="8"/>
        <v>2.1425379231111989</v>
      </c>
      <c r="F50" s="426">
        <f t="shared" si="9"/>
        <v>2.1425379231111989</v>
      </c>
      <c r="G50" s="426">
        <f t="shared" si="3"/>
        <v>2.1425379231111989</v>
      </c>
      <c r="H50" s="426">
        <f t="shared" si="10"/>
        <v>2.1425379231111989</v>
      </c>
      <c r="I50" s="426">
        <f t="shared" si="5"/>
        <v>2.1425379231111989</v>
      </c>
    </row>
    <row r="51" spans="1:9" x14ac:dyDescent="0.25">
      <c r="A51">
        <f>'Annual Parameters'!B90</f>
        <v>2051</v>
      </c>
      <c r="B51" s="195">
        <f>'Annual Parameters'!T90</f>
        <v>2.0380839805264062</v>
      </c>
      <c r="C51" s="195">
        <f>'Annual Parameters'!U90</f>
        <v>2.0380839805264062</v>
      </c>
      <c r="D51" s="426">
        <f t="shared" si="7"/>
        <v>2.172918762916463</v>
      </c>
      <c r="E51" s="426">
        <f t="shared" si="8"/>
        <v>2.172918762916463</v>
      </c>
      <c r="F51" s="426">
        <f t="shared" si="9"/>
        <v>2.172918762916463</v>
      </c>
      <c r="G51" s="426">
        <f t="shared" si="3"/>
        <v>2.172918762916463</v>
      </c>
      <c r="H51" s="426">
        <f t="shared" si="10"/>
        <v>2.172918762916463</v>
      </c>
      <c r="I51" s="426">
        <f t="shared" si="5"/>
        <v>2.172918762916463</v>
      </c>
    </row>
    <row r="52" spans="1:9" x14ac:dyDescent="0.25">
      <c r="A52">
        <f>'Annual Parameters'!B91</f>
        <v>2052</v>
      </c>
      <c r="B52" s="195">
        <f>'Annual Parameters'!T91</f>
        <v>2.0704916749985314</v>
      </c>
      <c r="C52" s="195">
        <f>'Annual Parameters'!U91</f>
        <v>2.0704916749985314</v>
      </c>
      <c r="D52" s="426">
        <f t="shared" si="7"/>
        <v>2.2036236796664483</v>
      </c>
      <c r="E52" s="426">
        <f t="shared" si="8"/>
        <v>2.2036236796664483</v>
      </c>
      <c r="F52" s="426">
        <f t="shared" si="9"/>
        <v>2.2036236796664483</v>
      </c>
      <c r="G52" s="426">
        <f t="shared" si="3"/>
        <v>2.2036236796664483</v>
      </c>
      <c r="H52" s="426">
        <f t="shared" si="10"/>
        <v>2.2036236796664483</v>
      </c>
      <c r="I52" s="426">
        <f t="shared" si="5"/>
        <v>2.2036236796664483</v>
      </c>
    </row>
    <row r="53" spans="1:9" x14ac:dyDescent="0.25">
      <c r="A53">
        <f>'Annual Parameters'!B92</f>
        <v>2053</v>
      </c>
      <c r="B53" s="195">
        <f>'Annual Parameters'!T92</f>
        <v>2.0704916749985314</v>
      </c>
      <c r="C53" s="195">
        <f>'Annual Parameters'!U92</f>
        <v>2.0704916749985314</v>
      </c>
      <c r="D53" s="426">
        <f t="shared" si="7"/>
        <v>2.2343285964164337</v>
      </c>
      <c r="E53" s="426">
        <f t="shared" si="8"/>
        <v>2.2343285964164337</v>
      </c>
      <c r="F53" s="426">
        <f t="shared" si="9"/>
        <v>2.2343285964164337</v>
      </c>
      <c r="G53" s="426">
        <f t="shared" si="3"/>
        <v>2.2343285964164337</v>
      </c>
      <c r="H53" s="426">
        <f t="shared" si="10"/>
        <v>2.2343285964164337</v>
      </c>
      <c r="I53" s="426">
        <f t="shared" si="5"/>
        <v>2.2343285964164337</v>
      </c>
    </row>
    <row r="54" spans="1:9" x14ac:dyDescent="0.25">
      <c r="A54">
        <f>'Annual Parameters'!B93</f>
        <v>2054</v>
      </c>
      <c r="B54" s="195">
        <f>'Annual Parameters'!T93</f>
        <v>2.0704916749985314</v>
      </c>
      <c r="C54" s="195">
        <f>'Annual Parameters'!U93</f>
        <v>2.0704916749985314</v>
      </c>
      <c r="D54" s="426">
        <f t="shared" si="7"/>
        <v>2.265033513166419</v>
      </c>
      <c r="E54" s="426">
        <f t="shared" si="8"/>
        <v>2.265033513166419</v>
      </c>
      <c r="F54" s="426">
        <f t="shared" si="9"/>
        <v>2.265033513166419</v>
      </c>
      <c r="G54" s="426">
        <f t="shared" si="3"/>
        <v>2.265033513166419</v>
      </c>
      <c r="H54" s="426">
        <f t="shared" si="10"/>
        <v>2.265033513166419</v>
      </c>
      <c r="I54" s="426">
        <f t="shared" si="5"/>
        <v>2.265033513166419</v>
      </c>
    </row>
    <row r="55" spans="1:9" x14ac:dyDescent="0.25">
      <c r="A55">
        <f>'Annual Parameters'!B94</f>
        <v>2055</v>
      </c>
      <c r="B55" s="195">
        <f>'Annual Parameters'!T94</f>
        <v>2.0704916749985314</v>
      </c>
      <c r="C55" s="195">
        <f>'Annual Parameters'!U94</f>
        <v>2.0704916749985314</v>
      </c>
      <c r="D55" s="426">
        <f t="shared" si="7"/>
        <v>2.2957384299164043</v>
      </c>
      <c r="E55" s="426">
        <f t="shared" si="8"/>
        <v>2.2957384299164043</v>
      </c>
      <c r="F55" s="426">
        <f t="shared" si="9"/>
        <v>2.2957384299164043</v>
      </c>
      <c r="G55" s="426">
        <f t="shared" si="3"/>
        <v>2.2957384299164048</v>
      </c>
      <c r="H55" s="426">
        <f t="shared" si="10"/>
        <v>2.2957384299164048</v>
      </c>
      <c r="I55" s="426">
        <f t="shared" si="5"/>
        <v>2.2957384299164043</v>
      </c>
    </row>
    <row r="56" spans="1:9" x14ac:dyDescent="0.25">
      <c r="A56">
        <f>'Annual Parameters'!B95</f>
        <v>2056</v>
      </c>
      <c r="B56" s="195">
        <f>'Annual Parameters'!T95</f>
        <v>2.0704916749985314</v>
      </c>
      <c r="C56" s="195">
        <f>'Annual Parameters'!U95</f>
        <v>2.0704916749985314</v>
      </c>
      <c r="D56" s="426">
        <f t="shared" si="7"/>
        <v>2.3264433466663896</v>
      </c>
      <c r="E56" s="426">
        <f t="shared" si="8"/>
        <v>2.3264433466663896</v>
      </c>
      <c r="F56" s="426">
        <f t="shared" si="9"/>
        <v>2.3264433466663896</v>
      </c>
      <c r="G56" s="426">
        <f t="shared" si="3"/>
        <v>2.3264433466663896</v>
      </c>
      <c r="H56" s="426">
        <f t="shared" si="10"/>
        <v>2.3264433466663896</v>
      </c>
      <c r="I56" s="426">
        <f t="shared" si="5"/>
        <v>2.3264433466663896</v>
      </c>
    </row>
    <row r="57" spans="1:9" x14ac:dyDescent="0.25">
      <c r="A57">
        <f>'Annual Parameters'!B96</f>
        <v>2057</v>
      </c>
      <c r="B57" s="195">
        <f>'Annual Parameters'!T96</f>
        <v>2.0944715954309245</v>
      </c>
      <c r="C57" s="195">
        <f>'Annual Parameters'!U96</f>
        <v>2.0944715954309245</v>
      </c>
      <c r="D57" s="426">
        <f t="shared" si="7"/>
        <v>2.3573880626206987</v>
      </c>
      <c r="E57" s="426">
        <f t="shared" si="8"/>
        <v>2.3573880626206987</v>
      </c>
      <c r="F57" s="426">
        <f t="shared" si="9"/>
        <v>2.3573880626206987</v>
      </c>
      <c r="G57" s="426">
        <f t="shared" si="3"/>
        <v>2.3573880626206991</v>
      </c>
      <c r="H57" s="426">
        <f t="shared" si="10"/>
        <v>2.3573880626206991</v>
      </c>
      <c r="I57" s="426">
        <f t="shared" si="5"/>
        <v>2.3573880626206987</v>
      </c>
    </row>
    <row r="58" spans="1:9" x14ac:dyDescent="0.25">
      <c r="A58">
        <f>'Annual Parameters'!B97</f>
        <v>2058</v>
      </c>
      <c r="B58" s="195">
        <f>'Annual Parameters'!T97</f>
        <v>2.1941732278483173</v>
      </c>
      <c r="C58" s="195">
        <f>'Annual Parameters'!U97</f>
        <v>2.1941732278483173</v>
      </c>
      <c r="D58" s="426">
        <f t="shared" si="7"/>
        <v>2.3893297948991816</v>
      </c>
      <c r="E58" s="426">
        <f t="shared" si="8"/>
        <v>2.3893297948991816</v>
      </c>
      <c r="F58" s="426">
        <f t="shared" si="9"/>
        <v>2.3893297948991816</v>
      </c>
      <c r="G58" s="426">
        <f t="shared" si="3"/>
        <v>2.3893297948991821</v>
      </c>
      <c r="H58" s="426">
        <f t="shared" si="10"/>
        <v>2.3893297948991821</v>
      </c>
      <c r="I58" s="426">
        <f t="shared" si="5"/>
        <v>2.3893297948991816</v>
      </c>
    </row>
    <row r="59" spans="1:9" x14ac:dyDescent="0.25">
      <c r="A59">
        <f>'Annual Parameters'!B98</f>
        <v>2059</v>
      </c>
      <c r="B59" s="195">
        <f>'Annual Parameters'!T98</f>
        <v>2.1941732278483173</v>
      </c>
      <c r="C59" s="195">
        <f>'Annual Parameters'!U98</f>
        <v>2.1941732278483173</v>
      </c>
      <c r="D59" s="426">
        <f t="shared" si="7"/>
        <v>2.4212715271776646</v>
      </c>
      <c r="E59" s="426">
        <f t="shared" si="8"/>
        <v>2.4212715271776646</v>
      </c>
      <c r="F59" s="426">
        <f t="shared" si="9"/>
        <v>2.4212715271776646</v>
      </c>
      <c r="G59" s="426">
        <f t="shared" si="3"/>
        <v>2.4212715271776646</v>
      </c>
      <c r="H59" s="426">
        <f t="shared" si="10"/>
        <v>2.4212715271776646</v>
      </c>
      <c r="I59" s="426">
        <f t="shared" si="5"/>
        <v>2.4212715271776646</v>
      </c>
    </row>
    <row r="60" spans="1:9" x14ac:dyDescent="0.25">
      <c r="A60">
        <f>'Annual Parameters'!B99</f>
        <v>2060</v>
      </c>
      <c r="B60" s="195">
        <f>'Annual Parameters'!T99</f>
        <v>2.2938748602657322</v>
      </c>
      <c r="C60" s="195">
        <f>'Annual Parameters'!U99</f>
        <v>2.2938748602657322</v>
      </c>
      <c r="D60" s="426">
        <f t="shared" si="7"/>
        <v>2.4542102757803219</v>
      </c>
      <c r="E60" s="426">
        <f t="shared" si="8"/>
        <v>2.4542102757803219</v>
      </c>
      <c r="F60" s="426">
        <f t="shared" si="9"/>
        <v>2.4542102757803219</v>
      </c>
      <c r="G60" s="426">
        <f t="shared" si="3"/>
        <v>2.4542102757803219</v>
      </c>
      <c r="H60" s="426">
        <f t="shared" si="10"/>
        <v>2.4542102757803219</v>
      </c>
      <c r="I60" s="426">
        <f t="shared" si="5"/>
        <v>2.4542102757803219</v>
      </c>
    </row>
    <row r="61" spans="1:9" x14ac:dyDescent="0.25">
      <c r="A61">
        <f>'Annual Parameters'!B100</f>
        <v>2061</v>
      </c>
      <c r="B61" s="195">
        <f>'Annual Parameters'!T100</f>
        <v>2.2938748602657322</v>
      </c>
      <c r="C61" s="195">
        <f>'Annual Parameters'!U100</f>
        <v>2.2938748602657322</v>
      </c>
      <c r="D61" s="426">
        <f t="shared" si="7"/>
        <v>2.4871490243829792</v>
      </c>
      <c r="E61" s="426">
        <f t="shared" si="8"/>
        <v>2.4871490243829792</v>
      </c>
      <c r="F61" s="426">
        <f t="shared" si="9"/>
        <v>2.4871490243829792</v>
      </c>
      <c r="G61" s="426">
        <f t="shared" si="3"/>
        <v>2.4871490243829797</v>
      </c>
      <c r="H61" s="426">
        <f t="shared" si="10"/>
        <v>2.4871490243829797</v>
      </c>
      <c r="I61" s="426">
        <f t="shared" si="5"/>
        <v>2.4871490243829792</v>
      </c>
    </row>
    <row r="62" spans="1:9" x14ac:dyDescent="0.25">
      <c r="A62">
        <f>'Annual Parameters'!B101</f>
        <v>2062</v>
      </c>
      <c r="B62" s="195">
        <f>'Annual Parameters'!T101</f>
        <v>2.2998250598167624</v>
      </c>
      <c r="C62" s="195">
        <f>'Annual Parameters'!U101</f>
        <v>2.2998250598167624</v>
      </c>
      <c r="D62" s="426">
        <f t="shared" si="7"/>
        <v>2.5201472749811469</v>
      </c>
      <c r="E62" s="426">
        <f t="shared" si="8"/>
        <v>2.5201472749811469</v>
      </c>
      <c r="F62" s="426">
        <f t="shared" si="9"/>
        <v>2.5201472749811469</v>
      </c>
      <c r="G62" s="426">
        <f t="shared" si="3"/>
        <v>2.5201472749811469</v>
      </c>
      <c r="H62" s="426">
        <f t="shared" si="10"/>
        <v>2.5201472749811469</v>
      </c>
      <c r="I62" s="426">
        <f t="shared" si="5"/>
        <v>2.5201472749811469</v>
      </c>
    </row>
    <row r="63" spans="1:9" x14ac:dyDescent="0.25">
      <c r="A63">
        <f>'Annual Parameters'!B102</f>
        <v>2063</v>
      </c>
      <c r="B63" s="195">
        <f>'Annual Parameters'!T102</f>
        <v>2.2971628334331085</v>
      </c>
      <c r="C63" s="195">
        <f>'Annual Parameters'!U102</f>
        <v>2.2971628334331085</v>
      </c>
      <c r="D63" s="426">
        <f t="shared" si="7"/>
        <v>2.553118903315478</v>
      </c>
      <c r="E63" s="426">
        <f t="shared" si="8"/>
        <v>2.553118903315478</v>
      </c>
      <c r="F63" s="426">
        <f t="shared" si="9"/>
        <v>2.553118903315478</v>
      </c>
      <c r="G63" s="426">
        <f t="shared" si="3"/>
        <v>2.553118903315478</v>
      </c>
      <c r="H63" s="426">
        <f t="shared" si="10"/>
        <v>2.553118903315478</v>
      </c>
      <c r="I63" s="426">
        <f t="shared" si="5"/>
        <v>2.553118903315478</v>
      </c>
    </row>
    <row r="64" spans="1:9" x14ac:dyDescent="0.25">
      <c r="A64">
        <f>'Annual Parameters'!B103</f>
        <v>2064</v>
      </c>
      <c r="B64" s="195">
        <f>'Annual Parameters'!T103</f>
        <v>2.1974579963635055</v>
      </c>
      <c r="C64" s="195">
        <f>'Annual Parameters'!U103</f>
        <v>2.1974579963635055</v>
      </c>
      <c r="D64" s="426">
        <f t="shared" si="7"/>
        <v>2.5850934832791128</v>
      </c>
      <c r="E64" s="426">
        <f t="shared" si="8"/>
        <v>2.5850934832791128</v>
      </c>
      <c r="F64" s="426">
        <f t="shared" si="9"/>
        <v>2.5850934832791128</v>
      </c>
      <c r="G64" s="426">
        <f t="shared" si="3"/>
        <v>2.5850934832791128</v>
      </c>
      <c r="H64" s="426">
        <f t="shared" si="10"/>
        <v>2.5850934832791128</v>
      </c>
      <c r="I64" s="426">
        <f t="shared" si="5"/>
        <v>2.5850934832791128</v>
      </c>
    </row>
    <row r="65" spans="1:9" x14ac:dyDescent="0.25">
      <c r="A65">
        <f>'Annual Parameters'!B104</f>
        <v>2065</v>
      </c>
      <c r="B65" s="195">
        <f>'Annual Parameters'!T104</f>
        <v>2.1974579963635055</v>
      </c>
      <c r="C65" s="195">
        <f>'Annual Parameters'!U104</f>
        <v>2.1974579963635055</v>
      </c>
      <c r="D65" s="426">
        <f t="shared" si="7"/>
        <v>2.6170680632427477</v>
      </c>
      <c r="E65" s="426">
        <f t="shared" si="8"/>
        <v>2.6170680632427477</v>
      </c>
      <c r="F65" s="426">
        <f t="shared" si="9"/>
        <v>2.6170680632427477</v>
      </c>
      <c r="G65" s="426">
        <f t="shared" si="3"/>
        <v>2.6170680632427477</v>
      </c>
      <c r="H65" s="426">
        <f t="shared" si="10"/>
        <v>2.6170680632427477</v>
      </c>
      <c r="I65" s="426">
        <f t="shared" si="5"/>
        <v>2.6170680632427477</v>
      </c>
    </row>
    <row r="66" spans="1:9" x14ac:dyDescent="0.25">
      <c r="A66">
        <f>'Annual Parameters'!B105</f>
        <v>2066</v>
      </c>
      <c r="B66" s="195">
        <f>'Annual Parameters'!T105</f>
        <v>2.1974579963635055</v>
      </c>
      <c r="C66" s="195">
        <f>'Annual Parameters'!U105</f>
        <v>2.1974579963635055</v>
      </c>
      <c r="D66" s="426">
        <f t="shared" si="7"/>
        <v>2.6490426432063825</v>
      </c>
      <c r="E66" s="426">
        <f t="shared" si="8"/>
        <v>2.6490426432063825</v>
      </c>
      <c r="F66" s="426">
        <f t="shared" si="9"/>
        <v>2.6490426432063825</v>
      </c>
      <c r="G66" s="426">
        <f t="shared" si="3"/>
        <v>2.6490426432063825</v>
      </c>
      <c r="H66" s="426">
        <f t="shared" si="10"/>
        <v>2.6490426432063825</v>
      </c>
      <c r="I66" s="426">
        <f t="shared" si="5"/>
        <v>2.6490426432063825</v>
      </c>
    </row>
    <row r="67" spans="1:9" x14ac:dyDescent="0.25">
      <c r="A67">
        <f>'Annual Parameters'!B106</f>
        <v>2067</v>
      </c>
      <c r="B67" s="195">
        <f>'Annual Parameters'!T106</f>
        <v>2.1838169647729</v>
      </c>
      <c r="C67" s="195">
        <f>'Annual Parameters'!U106</f>
        <v>2.1838169647729</v>
      </c>
      <c r="D67" s="426">
        <f t="shared" si="7"/>
        <v>2.6808808128541113</v>
      </c>
      <c r="E67" s="426">
        <f t="shared" si="8"/>
        <v>2.6808808128541113</v>
      </c>
      <c r="F67" s="426">
        <f t="shared" si="9"/>
        <v>2.6808808128541113</v>
      </c>
      <c r="G67" s="426">
        <f t="shared" si="3"/>
        <v>2.6808808128541113</v>
      </c>
      <c r="H67" s="426">
        <f t="shared" si="10"/>
        <v>2.6808808128541113</v>
      </c>
      <c r="I67" s="426">
        <f t="shared" si="5"/>
        <v>2.6808808128541113</v>
      </c>
    </row>
    <row r="68" spans="1:9" x14ac:dyDescent="0.25">
      <c r="A68">
        <f>'Annual Parameters'!B107</f>
        <v>2068</v>
      </c>
      <c r="B68" s="195">
        <f>'Annual Parameters'!T107</f>
        <v>2.1838169647729</v>
      </c>
      <c r="C68" s="195">
        <f>'Annual Parameters'!U107</f>
        <v>2.1838169647729</v>
      </c>
      <c r="D68" s="426">
        <f t="shared" si="7"/>
        <v>2.7127189825018401</v>
      </c>
      <c r="E68" s="426">
        <f t="shared" si="8"/>
        <v>2.7127189825018401</v>
      </c>
      <c r="F68" s="426">
        <f t="shared" si="9"/>
        <v>2.7127189825018401</v>
      </c>
      <c r="G68" s="426">
        <f t="shared" si="3"/>
        <v>2.7127189825018401</v>
      </c>
      <c r="H68" s="426">
        <f t="shared" si="10"/>
        <v>2.7127189825018401</v>
      </c>
      <c r="I68" s="426">
        <f t="shared" si="5"/>
        <v>2.7127189825018401</v>
      </c>
    </row>
    <row r="69" spans="1:9" x14ac:dyDescent="0.25">
      <c r="A69">
        <f>'Annual Parameters'!B108</f>
        <v>2069</v>
      </c>
      <c r="B69" s="195">
        <f>'Annual Parameters'!T108</f>
        <v>2.1838169647729</v>
      </c>
      <c r="C69" s="195">
        <f>'Annual Parameters'!U108</f>
        <v>2.1838169647729</v>
      </c>
      <c r="D69" s="426">
        <f t="shared" si="7"/>
        <v>2.7445571521495689</v>
      </c>
      <c r="E69" s="426">
        <f t="shared" si="8"/>
        <v>2.7445571521495689</v>
      </c>
      <c r="F69" s="426">
        <f t="shared" si="9"/>
        <v>2.7445571521495689</v>
      </c>
      <c r="G69" s="426">
        <f t="shared" si="3"/>
        <v>2.7445571521495689</v>
      </c>
      <c r="H69" s="426">
        <f t="shared" si="10"/>
        <v>2.7445571521495689</v>
      </c>
      <c r="I69" s="426">
        <f t="shared" si="5"/>
        <v>2.7445571521495689</v>
      </c>
    </row>
    <row r="70" spans="1:9" x14ac:dyDescent="0.25">
      <c r="A70">
        <f>'Annual Parameters'!B109</f>
        <v>2070</v>
      </c>
      <c r="B70" s="195">
        <f>'Annual Parameters'!T109</f>
        <v>2.1838169647729</v>
      </c>
      <c r="C70" s="195">
        <f>'Annual Parameters'!U109</f>
        <v>2.1838169647729</v>
      </c>
      <c r="D70" s="426">
        <f t="shared" si="7"/>
        <v>2.7763953217972976</v>
      </c>
      <c r="E70" s="426">
        <f t="shared" si="8"/>
        <v>2.7763953217972976</v>
      </c>
      <c r="F70" s="426">
        <f t="shared" si="9"/>
        <v>2.7763953217972976</v>
      </c>
      <c r="G70" s="426">
        <f t="shared" si="3"/>
        <v>2.7763953217972981</v>
      </c>
      <c r="H70" s="426">
        <f t="shared" si="10"/>
        <v>2.7763953217972981</v>
      </c>
      <c r="I70" s="426">
        <f t="shared" si="5"/>
        <v>2.7763953217972976</v>
      </c>
    </row>
    <row r="71" spans="1:9" x14ac:dyDescent="0.25">
      <c r="A71">
        <f>'Annual Parameters'!B110</f>
        <v>2071</v>
      </c>
      <c r="B71" s="195">
        <f>'Annual Parameters'!T110</f>
        <v>2.1838169647729</v>
      </c>
      <c r="C71" s="195">
        <f>'Annual Parameters'!U110</f>
        <v>2.1838169647729</v>
      </c>
      <c r="D71" s="426">
        <f t="shared" si="7"/>
        <v>2.8082334914450264</v>
      </c>
      <c r="E71" s="426">
        <f t="shared" si="8"/>
        <v>2.8082334914450264</v>
      </c>
      <c r="F71" s="426">
        <f t="shared" si="9"/>
        <v>2.8082334914450264</v>
      </c>
      <c r="G71" s="426">
        <f t="shared" si="3"/>
        <v>2.8082334914450264</v>
      </c>
      <c r="H71" s="426">
        <f t="shared" si="10"/>
        <v>2.8082334914450264</v>
      </c>
      <c r="I71" s="426">
        <f t="shared" si="5"/>
        <v>2.8082334914450264</v>
      </c>
    </row>
    <row r="72" spans="1:9" x14ac:dyDescent="0.25">
      <c r="A72">
        <f>'Annual Parameters'!B111</f>
        <v>2072</v>
      </c>
      <c r="B72" s="195">
        <f>'Annual Parameters'!T111</f>
        <v>2.1682591215441471</v>
      </c>
      <c r="C72" s="195">
        <f>'Annual Parameters'!U111</f>
        <v>2.1682591215441471</v>
      </c>
      <c r="D72" s="426">
        <f t="shared" si="7"/>
        <v>2.8399160826604679</v>
      </c>
      <c r="E72" s="426">
        <f t="shared" si="8"/>
        <v>2.8399160826604679</v>
      </c>
      <c r="F72" s="426">
        <f t="shared" si="9"/>
        <v>2.8399160826604679</v>
      </c>
      <c r="G72" s="426">
        <f t="shared" si="3"/>
        <v>2.8399160826604679</v>
      </c>
      <c r="H72" s="426">
        <f t="shared" si="10"/>
        <v>2.8399160826604679</v>
      </c>
      <c r="I72" s="426">
        <f t="shared" si="5"/>
        <v>2.8399160826604684</v>
      </c>
    </row>
    <row r="73" spans="1:9" x14ac:dyDescent="0.25">
      <c r="A73">
        <f>'Annual Parameters'!B112</f>
        <v>2073</v>
      </c>
      <c r="B73" s="195">
        <f>'Annual Parameters'!T112</f>
        <v>2.1682591215441471</v>
      </c>
      <c r="C73" s="195">
        <f>'Annual Parameters'!U112</f>
        <v>2.1682591215441471</v>
      </c>
      <c r="D73" s="426">
        <f t="shared" si="7"/>
        <v>2.8715986738759094</v>
      </c>
      <c r="E73" s="426">
        <f t="shared" si="8"/>
        <v>2.8715986738759094</v>
      </c>
      <c r="F73" s="426">
        <f t="shared" si="9"/>
        <v>2.8715986738759094</v>
      </c>
      <c r="G73" s="426">
        <f t="shared" si="3"/>
        <v>2.8715986738759094</v>
      </c>
      <c r="H73" s="426">
        <f t="shared" si="10"/>
        <v>2.8715986738759094</v>
      </c>
      <c r="I73" s="426">
        <f t="shared" si="5"/>
        <v>2.8715986738759094</v>
      </c>
    </row>
    <row r="74" spans="1:9" x14ac:dyDescent="0.25">
      <c r="A74">
        <f>'Annual Parameters'!B113</f>
        <v>2074</v>
      </c>
      <c r="B74" s="195">
        <f>'Annual Parameters'!T113</f>
        <v>2.1682591215441471</v>
      </c>
      <c r="C74" s="195">
        <f>'Annual Parameters'!U113</f>
        <v>2.1682591215441471</v>
      </c>
      <c r="D74" s="426">
        <f t="shared" si="7"/>
        <v>2.9032812650913509</v>
      </c>
      <c r="E74" s="426">
        <f t="shared" si="8"/>
        <v>2.9032812650913509</v>
      </c>
      <c r="F74" s="426">
        <f t="shared" si="9"/>
        <v>2.9032812650913509</v>
      </c>
      <c r="G74" s="426">
        <f t="shared" si="3"/>
        <v>2.9032812650913513</v>
      </c>
      <c r="H74" s="426">
        <f t="shared" si="10"/>
        <v>2.9032812650913513</v>
      </c>
      <c r="I74" s="426">
        <f t="shared" si="5"/>
        <v>2.9032812650913509</v>
      </c>
    </row>
    <row r="75" spans="1:9" x14ac:dyDescent="0.25">
      <c r="A75">
        <f>'Annual Parameters'!B114</f>
        <v>2075</v>
      </c>
      <c r="B75" s="195">
        <f>'Annual Parameters'!T114</f>
        <v>2.1682591215441471</v>
      </c>
      <c r="C75" s="195">
        <f>'Annual Parameters'!U114</f>
        <v>2.1682591215441471</v>
      </c>
      <c r="D75" s="426">
        <f t="shared" si="7"/>
        <v>2.9349638563067924</v>
      </c>
      <c r="E75" s="426">
        <f t="shared" si="8"/>
        <v>2.9349638563067924</v>
      </c>
      <c r="F75" s="426">
        <f t="shared" si="9"/>
        <v>2.9349638563067924</v>
      </c>
      <c r="G75" s="426">
        <f t="shared" si="3"/>
        <v>2.9349638563067928</v>
      </c>
      <c r="H75" s="426">
        <f t="shared" si="10"/>
        <v>2.9349638563067928</v>
      </c>
      <c r="I75" s="426">
        <f t="shared" si="5"/>
        <v>2.9349638563067924</v>
      </c>
    </row>
    <row r="76" spans="1:9" x14ac:dyDescent="0.25">
      <c r="A76">
        <f>'Annual Parameters'!B115</f>
        <v>2076</v>
      </c>
      <c r="B76" s="195">
        <f>'Annual Parameters'!T115</f>
        <v>2.1682591215441471</v>
      </c>
      <c r="C76" s="195">
        <f>'Annual Parameters'!U115</f>
        <v>2.1682591215441471</v>
      </c>
      <c r="D76" s="426">
        <f t="shared" ref="D76:D100" si="11">D75+((1+B76)/100)</f>
        <v>2.9666464475222338</v>
      </c>
      <c r="E76" s="426">
        <f t="shared" ref="E76:E100" si="12">E75+((1+C76)/100)</f>
        <v>2.9666464475222338</v>
      </c>
      <c r="F76" s="426">
        <f t="shared" si="9"/>
        <v>2.9666464475222338</v>
      </c>
      <c r="G76" s="426">
        <f t="shared" si="3"/>
        <v>2.9666464475222343</v>
      </c>
      <c r="H76" s="426">
        <f t="shared" si="10"/>
        <v>2.9666464475222343</v>
      </c>
      <c r="I76" s="426">
        <f t="shared" si="5"/>
        <v>2.9666464475222338</v>
      </c>
    </row>
    <row r="77" spans="1:9" x14ac:dyDescent="0.25">
      <c r="A77">
        <f>'Annual Parameters'!B116</f>
        <v>2077</v>
      </c>
      <c r="B77" s="195">
        <f>'Annual Parameters'!T116</f>
        <v>2.1653405464431286</v>
      </c>
      <c r="C77" s="195">
        <f>'Annual Parameters'!U116</f>
        <v>2.1653405464431286</v>
      </c>
      <c r="D77" s="426">
        <f t="shared" si="11"/>
        <v>2.9982998529866651</v>
      </c>
      <c r="E77" s="426">
        <f t="shared" si="12"/>
        <v>2.9982998529866651</v>
      </c>
      <c r="F77" s="426">
        <f t="shared" si="9"/>
        <v>2.9982998529866651</v>
      </c>
      <c r="G77" s="426">
        <f t="shared" si="9"/>
        <v>2.9982998529866656</v>
      </c>
      <c r="H77" s="426">
        <f t="shared" si="10"/>
        <v>2.9982998529866656</v>
      </c>
      <c r="I77" s="426">
        <f t="shared" si="10"/>
        <v>2.9982998529866651</v>
      </c>
    </row>
    <row r="78" spans="1:9" x14ac:dyDescent="0.25">
      <c r="A78">
        <f>'Annual Parameters'!B117</f>
        <v>2078</v>
      </c>
      <c r="B78" s="195">
        <f>'Annual Parameters'!T117</f>
        <v>2.1653405464431286</v>
      </c>
      <c r="C78" s="195">
        <f>'Annual Parameters'!U117</f>
        <v>2.1653405464431286</v>
      </c>
      <c r="D78" s="426">
        <f t="shared" si="11"/>
        <v>3.0299532584510964</v>
      </c>
      <c r="E78" s="426">
        <f t="shared" si="12"/>
        <v>3.0299532584510964</v>
      </c>
      <c r="F78" s="426">
        <f t="shared" ref="F78:I100" si="13">$D78*F$1+$E78*(1-F$1)</f>
        <v>3.0299532584510964</v>
      </c>
      <c r="G78" s="426">
        <f t="shared" si="13"/>
        <v>3.0299532584510969</v>
      </c>
      <c r="H78" s="426">
        <f t="shared" si="13"/>
        <v>3.0299532584510969</v>
      </c>
      <c r="I78" s="426">
        <f t="shared" si="13"/>
        <v>3.0299532584510964</v>
      </c>
    </row>
    <row r="79" spans="1:9" x14ac:dyDescent="0.25">
      <c r="A79">
        <f>'Annual Parameters'!B118</f>
        <v>2079</v>
      </c>
      <c r="B79" s="195">
        <f>'Annual Parameters'!T118</f>
        <v>2.1653405464431286</v>
      </c>
      <c r="C79" s="195">
        <f>'Annual Parameters'!U118</f>
        <v>2.1653405464431286</v>
      </c>
      <c r="D79" s="426">
        <f t="shared" si="11"/>
        <v>3.0616066639155277</v>
      </c>
      <c r="E79" s="426">
        <f t="shared" si="12"/>
        <v>3.0616066639155277</v>
      </c>
      <c r="F79" s="426">
        <f t="shared" si="13"/>
        <v>3.0616066639155277</v>
      </c>
      <c r="G79" s="426">
        <f t="shared" si="13"/>
        <v>3.0616066639155282</v>
      </c>
      <c r="H79" s="426">
        <f t="shared" si="13"/>
        <v>3.0616066639155282</v>
      </c>
      <c r="I79" s="426">
        <f t="shared" si="13"/>
        <v>3.0616066639155282</v>
      </c>
    </row>
    <row r="80" spans="1:9" x14ac:dyDescent="0.25">
      <c r="A80">
        <f>'Annual Parameters'!B119</f>
        <v>2080</v>
      </c>
      <c r="B80" s="195">
        <f>'Annual Parameters'!T119</f>
        <v>2.1653405464431286</v>
      </c>
      <c r="C80" s="195">
        <f>'Annual Parameters'!U119</f>
        <v>2.1653405464431286</v>
      </c>
      <c r="D80" s="426">
        <f t="shared" si="11"/>
        <v>3.093260069379959</v>
      </c>
      <c r="E80" s="426">
        <f t="shared" si="12"/>
        <v>3.093260069379959</v>
      </c>
      <c r="F80" s="426">
        <f t="shared" si="13"/>
        <v>3.0932600693799595</v>
      </c>
      <c r="G80" s="426">
        <f t="shared" si="13"/>
        <v>3.093260069379959</v>
      </c>
      <c r="H80" s="426">
        <f t="shared" si="13"/>
        <v>3.093260069379959</v>
      </c>
      <c r="I80" s="426">
        <f t="shared" si="13"/>
        <v>3.093260069379959</v>
      </c>
    </row>
    <row r="81" spans="1:9" x14ac:dyDescent="0.25">
      <c r="A81">
        <f>'Annual Parameters'!B120</f>
        <v>2081</v>
      </c>
      <c r="B81" s="195">
        <f>'Annual Parameters'!T120</f>
        <v>2.1653405464431286</v>
      </c>
      <c r="C81" s="195">
        <f>'Annual Parameters'!U120</f>
        <v>2.1653405464431286</v>
      </c>
      <c r="D81" s="426">
        <f t="shared" si="11"/>
        <v>3.1249134748443903</v>
      </c>
      <c r="E81" s="426">
        <f t="shared" si="12"/>
        <v>3.1249134748443903</v>
      </c>
      <c r="F81" s="426">
        <f t="shared" si="13"/>
        <v>3.1249134748443903</v>
      </c>
      <c r="G81" s="426">
        <f t="shared" si="13"/>
        <v>3.1249134748443903</v>
      </c>
      <c r="H81" s="426">
        <f t="shared" si="13"/>
        <v>3.1249134748443903</v>
      </c>
      <c r="I81" s="426">
        <f t="shared" si="13"/>
        <v>3.1249134748443903</v>
      </c>
    </row>
    <row r="82" spans="1:9" x14ac:dyDescent="0.25">
      <c r="A82">
        <f>'Annual Parameters'!B121</f>
        <v>2082</v>
      </c>
      <c r="B82" s="195">
        <f>'Annual Parameters'!T121</f>
        <v>2.1739695577435381</v>
      </c>
      <c r="C82" s="195">
        <f>'Annual Parameters'!U121</f>
        <v>2.1739695577435381</v>
      </c>
      <c r="D82" s="426">
        <f t="shared" si="11"/>
        <v>3.1566531704218255</v>
      </c>
      <c r="E82" s="426">
        <f t="shared" si="12"/>
        <v>3.1566531704218255</v>
      </c>
      <c r="F82" s="426">
        <f t="shared" si="13"/>
        <v>3.1566531704218255</v>
      </c>
      <c r="G82" s="426">
        <f t="shared" si="13"/>
        <v>3.1566531704218259</v>
      </c>
      <c r="H82" s="426">
        <f t="shared" si="13"/>
        <v>3.1566531704218259</v>
      </c>
      <c r="I82" s="426">
        <f t="shared" si="13"/>
        <v>3.1566531704218255</v>
      </c>
    </row>
    <row r="83" spans="1:9" x14ac:dyDescent="0.25">
      <c r="A83">
        <f>'Annual Parameters'!B122</f>
        <v>2083</v>
      </c>
      <c r="B83" s="195">
        <f>'Annual Parameters'!T122</f>
        <v>2.1739695577435381</v>
      </c>
      <c r="C83" s="195">
        <f>'Annual Parameters'!U122</f>
        <v>2.1739695577435381</v>
      </c>
      <c r="D83" s="426">
        <f t="shared" si="11"/>
        <v>3.1883928659992606</v>
      </c>
      <c r="E83" s="426">
        <f t="shared" si="12"/>
        <v>3.1883928659992606</v>
      </c>
      <c r="F83" s="426">
        <f t="shared" si="13"/>
        <v>3.1883928659992606</v>
      </c>
      <c r="G83" s="426">
        <f t="shared" si="13"/>
        <v>3.1883928659992606</v>
      </c>
      <c r="H83" s="426">
        <f t="shared" si="13"/>
        <v>3.1883928659992606</v>
      </c>
      <c r="I83" s="426">
        <f t="shared" si="13"/>
        <v>3.1883928659992606</v>
      </c>
    </row>
    <row r="84" spans="1:9" x14ac:dyDescent="0.25">
      <c r="A84">
        <f>'Annual Parameters'!B123</f>
        <v>2084</v>
      </c>
      <c r="B84" s="195">
        <f>'Annual Parameters'!T123</f>
        <v>2.1739695577435381</v>
      </c>
      <c r="C84" s="195">
        <f>'Annual Parameters'!U123</f>
        <v>2.1739695577435381</v>
      </c>
      <c r="D84" s="426">
        <f t="shared" si="11"/>
        <v>3.2201325615766958</v>
      </c>
      <c r="E84" s="426">
        <f t="shared" si="12"/>
        <v>3.2201325615766958</v>
      </c>
      <c r="F84" s="426">
        <f t="shared" si="13"/>
        <v>3.2201325615766958</v>
      </c>
      <c r="G84" s="426">
        <f t="shared" si="13"/>
        <v>3.2201325615766958</v>
      </c>
      <c r="H84" s="426">
        <f t="shared" si="13"/>
        <v>3.2201325615766958</v>
      </c>
      <c r="I84" s="426">
        <f t="shared" si="13"/>
        <v>3.2201325615766958</v>
      </c>
    </row>
    <row r="85" spans="1:9" x14ac:dyDescent="0.25">
      <c r="A85">
        <f>'Annual Parameters'!B124</f>
        <v>2085</v>
      </c>
      <c r="B85" s="195">
        <f>'Annual Parameters'!T124</f>
        <v>2.1739695577435381</v>
      </c>
      <c r="C85" s="195">
        <f>'Annual Parameters'!U124</f>
        <v>2.1739695577435381</v>
      </c>
      <c r="D85" s="426">
        <f t="shared" si="11"/>
        <v>3.251872257154131</v>
      </c>
      <c r="E85" s="426">
        <f t="shared" si="12"/>
        <v>3.251872257154131</v>
      </c>
      <c r="F85" s="426">
        <f t="shared" si="13"/>
        <v>3.2518722571541305</v>
      </c>
      <c r="G85" s="426">
        <f t="shared" si="13"/>
        <v>3.2518722571541314</v>
      </c>
      <c r="H85" s="426">
        <f t="shared" si="13"/>
        <v>3.2518722571541314</v>
      </c>
      <c r="I85" s="426">
        <f t="shared" si="13"/>
        <v>3.251872257154131</v>
      </c>
    </row>
    <row r="86" spans="1:9" x14ac:dyDescent="0.25">
      <c r="A86">
        <f>'Annual Parameters'!B125</f>
        <v>2086</v>
      </c>
      <c r="B86" s="195">
        <f>'Annual Parameters'!T125</f>
        <v>2.1739695577435381</v>
      </c>
      <c r="C86" s="195">
        <f>'Annual Parameters'!U125</f>
        <v>2.1739695577435381</v>
      </c>
      <c r="D86" s="426">
        <f t="shared" si="11"/>
        <v>3.2836119527315661</v>
      </c>
      <c r="E86" s="426">
        <f t="shared" si="12"/>
        <v>3.2836119527315661</v>
      </c>
      <c r="F86" s="426">
        <f t="shared" si="13"/>
        <v>3.2836119527315661</v>
      </c>
      <c r="G86" s="426">
        <f t="shared" si="13"/>
        <v>3.2836119527315661</v>
      </c>
      <c r="H86" s="426">
        <f t="shared" si="13"/>
        <v>3.2836119527315661</v>
      </c>
      <c r="I86" s="426">
        <f t="shared" si="13"/>
        <v>3.2836119527315661</v>
      </c>
    </row>
    <row r="87" spans="1:9" x14ac:dyDescent="0.25">
      <c r="A87">
        <f>'Annual Parameters'!B126</f>
        <v>2087</v>
      </c>
      <c r="B87" s="195">
        <f>'Annual Parameters'!T126</f>
        <v>2.1803025632262996</v>
      </c>
      <c r="C87" s="195">
        <f>'Annual Parameters'!U126</f>
        <v>2.1803025632262996</v>
      </c>
      <c r="D87" s="426">
        <f t="shared" si="11"/>
        <v>3.3154149783638291</v>
      </c>
      <c r="E87" s="426">
        <f t="shared" si="12"/>
        <v>3.3154149783638291</v>
      </c>
      <c r="F87" s="426">
        <f t="shared" si="13"/>
        <v>3.3154149783638291</v>
      </c>
      <c r="G87" s="426">
        <f t="shared" si="13"/>
        <v>3.3154149783638296</v>
      </c>
      <c r="H87" s="426">
        <f t="shared" si="13"/>
        <v>3.3154149783638296</v>
      </c>
      <c r="I87" s="426">
        <f t="shared" si="13"/>
        <v>3.3154149783638291</v>
      </c>
    </row>
    <row r="88" spans="1:9" x14ac:dyDescent="0.25">
      <c r="A88">
        <f>'Annual Parameters'!B127</f>
        <v>2088</v>
      </c>
      <c r="B88" s="195">
        <f>'Annual Parameters'!T127</f>
        <v>2.1840424174897288</v>
      </c>
      <c r="C88" s="195">
        <f>'Annual Parameters'!U127</f>
        <v>2.1840424174897288</v>
      </c>
      <c r="D88" s="426">
        <f t="shared" si="11"/>
        <v>3.3472554025387264</v>
      </c>
      <c r="E88" s="426">
        <f t="shared" si="12"/>
        <v>3.3472554025387264</v>
      </c>
      <c r="F88" s="426">
        <f t="shared" si="13"/>
        <v>3.3472554025387264</v>
      </c>
      <c r="G88" s="426">
        <f t="shared" si="13"/>
        <v>3.3472554025387264</v>
      </c>
      <c r="H88" s="426">
        <f t="shared" si="13"/>
        <v>3.3472554025387264</v>
      </c>
      <c r="I88" s="426">
        <f t="shared" si="13"/>
        <v>3.3472554025387264</v>
      </c>
    </row>
    <row r="89" spans="1:9" x14ac:dyDescent="0.25">
      <c r="A89">
        <f>'Annual Parameters'!B128</f>
        <v>2089</v>
      </c>
      <c r="B89" s="195">
        <f>'Annual Parameters'!T128</f>
        <v>2.1840424174897288</v>
      </c>
      <c r="C89" s="195">
        <f>'Annual Parameters'!U128</f>
        <v>2.1840424174897288</v>
      </c>
      <c r="D89" s="426">
        <f t="shared" si="11"/>
        <v>3.3790958267136237</v>
      </c>
      <c r="E89" s="426">
        <f t="shared" si="12"/>
        <v>3.3790958267136237</v>
      </c>
      <c r="F89" s="426">
        <f t="shared" si="13"/>
        <v>3.3790958267136237</v>
      </c>
      <c r="G89" s="426">
        <f t="shared" si="13"/>
        <v>3.3790958267136242</v>
      </c>
      <c r="H89" s="426">
        <f t="shared" si="13"/>
        <v>3.3790958267136242</v>
      </c>
      <c r="I89" s="426">
        <f t="shared" si="13"/>
        <v>3.3790958267136237</v>
      </c>
    </row>
    <row r="90" spans="1:9" x14ac:dyDescent="0.25">
      <c r="A90">
        <f>'Annual Parameters'!B129</f>
        <v>2090</v>
      </c>
      <c r="B90" s="195">
        <f>'Annual Parameters'!T129</f>
        <v>2.1840424174897288</v>
      </c>
      <c r="C90" s="195">
        <f>'Annual Parameters'!U129</f>
        <v>2.1840424174897288</v>
      </c>
      <c r="D90" s="426">
        <f t="shared" si="11"/>
        <v>3.410936250888521</v>
      </c>
      <c r="E90" s="426">
        <f t="shared" si="12"/>
        <v>3.410936250888521</v>
      </c>
      <c r="F90" s="426">
        <f t="shared" si="13"/>
        <v>3.410936250888521</v>
      </c>
      <c r="G90" s="426">
        <f t="shared" si="13"/>
        <v>3.410936250888521</v>
      </c>
      <c r="H90" s="426">
        <f t="shared" si="13"/>
        <v>3.410936250888521</v>
      </c>
      <c r="I90" s="426">
        <f t="shared" si="13"/>
        <v>3.410936250888521</v>
      </c>
    </row>
    <row r="91" spans="1:9" x14ac:dyDescent="0.25">
      <c r="A91">
        <f>'Annual Parameters'!B130</f>
        <v>2091</v>
      </c>
      <c r="B91" s="195">
        <f>'Annual Parameters'!T130</f>
        <v>2.1840424174897288</v>
      </c>
      <c r="C91" s="195">
        <f>'Annual Parameters'!U130</f>
        <v>2.1840424174897288</v>
      </c>
      <c r="D91" s="426">
        <f t="shared" si="11"/>
        <v>3.4427766750634183</v>
      </c>
      <c r="E91" s="426">
        <f t="shared" si="12"/>
        <v>3.4427766750634183</v>
      </c>
      <c r="F91" s="426">
        <f t="shared" si="13"/>
        <v>3.4427766750634179</v>
      </c>
      <c r="G91" s="426">
        <f t="shared" si="13"/>
        <v>3.4427766750634188</v>
      </c>
      <c r="H91" s="426">
        <f t="shared" si="13"/>
        <v>3.4427766750634188</v>
      </c>
      <c r="I91" s="426">
        <f t="shared" si="13"/>
        <v>3.4427766750634183</v>
      </c>
    </row>
    <row r="92" spans="1:9" x14ac:dyDescent="0.25">
      <c r="A92">
        <f>'Annual Parameters'!B131</f>
        <v>2092</v>
      </c>
      <c r="B92" s="195">
        <f>'Annual Parameters'!T131</f>
        <v>2.1840424174897288</v>
      </c>
      <c r="C92" s="195">
        <f>'Annual Parameters'!U131</f>
        <v>2.1840424174897288</v>
      </c>
      <c r="D92" s="426">
        <f t="shared" si="11"/>
        <v>3.4746170992383156</v>
      </c>
      <c r="E92" s="426">
        <f t="shared" si="12"/>
        <v>3.4746170992383156</v>
      </c>
      <c r="F92" s="426">
        <f t="shared" si="13"/>
        <v>3.4746170992383156</v>
      </c>
      <c r="G92" s="426">
        <f t="shared" si="13"/>
        <v>3.4746170992383156</v>
      </c>
      <c r="H92" s="426">
        <f t="shared" si="13"/>
        <v>3.4746170992383156</v>
      </c>
      <c r="I92" s="426">
        <f t="shared" si="13"/>
        <v>3.4746170992383156</v>
      </c>
    </row>
    <row r="93" spans="1:9" x14ac:dyDescent="0.25">
      <c r="A93">
        <f>'Annual Parameters'!B132</f>
        <v>2093</v>
      </c>
      <c r="B93" s="195">
        <f>'Annual Parameters'!T132</f>
        <v>2.1848471643739709</v>
      </c>
      <c r="C93" s="195">
        <f>'Annual Parameters'!U132</f>
        <v>2.1848471643739709</v>
      </c>
      <c r="D93" s="426">
        <f t="shared" si="11"/>
        <v>3.5064655708820553</v>
      </c>
      <c r="E93" s="426">
        <f t="shared" si="12"/>
        <v>3.5064655708820553</v>
      </c>
      <c r="F93" s="426">
        <f t="shared" si="13"/>
        <v>3.5064655708820553</v>
      </c>
      <c r="G93" s="426">
        <f t="shared" si="13"/>
        <v>3.5064655708820553</v>
      </c>
      <c r="H93" s="426">
        <f t="shared" si="13"/>
        <v>3.5064655708820553</v>
      </c>
      <c r="I93" s="426">
        <f t="shared" si="13"/>
        <v>3.5064655708820553</v>
      </c>
    </row>
    <row r="94" spans="1:9" x14ac:dyDescent="0.25">
      <c r="A94">
        <f>'Annual Parameters'!B133</f>
        <v>2094</v>
      </c>
      <c r="B94" s="195">
        <f>'Annual Parameters'!T133</f>
        <v>2.1848471643739709</v>
      </c>
      <c r="C94" s="195">
        <f>'Annual Parameters'!U133</f>
        <v>2.1848471643739709</v>
      </c>
      <c r="D94" s="426">
        <f t="shared" si="11"/>
        <v>3.5383140425257951</v>
      </c>
      <c r="E94" s="426">
        <f t="shared" si="12"/>
        <v>3.5383140425257951</v>
      </c>
      <c r="F94" s="426">
        <f t="shared" si="13"/>
        <v>3.5383140425257951</v>
      </c>
      <c r="G94" s="426">
        <f t="shared" si="13"/>
        <v>3.5383140425257955</v>
      </c>
      <c r="H94" s="426">
        <f t="shared" si="13"/>
        <v>3.5383140425257955</v>
      </c>
      <c r="I94" s="426">
        <f t="shared" si="13"/>
        <v>3.5383140425257951</v>
      </c>
    </row>
    <row r="95" spans="1:9" x14ac:dyDescent="0.25">
      <c r="A95">
        <f>'Annual Parameters'!B134</f>
        <v>2095</v>
      </c>
      <c r="B95" s="195">
        <f>'Annual Parameters'!T134</f>
        <v>2.1848471643739709</v>
      </c>
      <c r="C95" s="195">
        <f>'Annual Parameters'!U134</f>
        <v>2.1848471643739709</v>
      </c>
      <c r="D95" s="426">
        <f t="shared" si="11"/>
        <v>3.5701625141695348</v>
      </c>
      <c r="E95" s="426">
        <f t="shared" si="12"/>
        <v>3.5701625141695348</v>
      </c>
      <c r="F95" s="426">
        <f t="shared" si="13"/>
        <v>3.5701625141695348</v>
      </c>
      <c r="G95" s="426">
        <f t="shared" si="13"/>
        <v>3.5701625141695352</v>
      </c>
      <c r="H95" s="426">
        <f t="shared" si="13"/>
        <v>3.5701625141695352</v>
      </c>
      <c r="I95" s="426">
        <f t="shared" si="13"/>
        <v>3.5701625141695348</v>
      </c>
    </row>
    <row r="96" spans="1:9" x14ac:dyDescent="0.25">
      <c r="A96">
        <f>'Annual Parameters'!B135</f>
        <v>2096</v>
      </c>
      <c r="B96" s="195">
        <f>'Annual Parameters'!T135</f>
        <v>2.1848471643739709</v>
      </c>
      <c r="C96" s="195">
        <f>'Annual Parameters'!U135</f>
        <v>2.1848471643739709</v>
      </c>
      <c r="D96" s="426">
        <f t="shared" si="11"/>
        <v>3.6020109858132745</v>
      </c>
      <c r="E96" s="426">
        <f t="shared" si="12"/>
        <v>3.6020109858132745</v>
      </c>
      <c r="F96" s="426">
        <f t="shared" si="13"/>
        <v>3.6020109858132745</v>
      </c>
      <c r="G96" s="426">
        <f t="shared" si="13"/>
        <v>3.6020109858132745</v>
      </c>
      <c r="H96" s="426">
        <f t="shared" si="13"/>
        <v>3.6020109858132745</v>
      </c>
      <c r="I96" s="426">
        <f t="shared" si="13"/>
        <v>3.6020109858132745</v>
      </c>
    </row>
    <row r="97" spans="1:9" x14ac:dyDescent="0.25">
      <c r="A97">
        <f>'Annual Parameters'!B136</f>
        <v>2097</v>
      </c>
      <c r="B97" s="195">
        <f>'Annual Parameters'!T136</f>
        <v>2.1848471643739709</v>
      </c>
      <c r="C97" s="195">
        <f>'Annual Parameters'!U136</f>
        <v>2.1848471643739709</v>
      </c>
      <c r="D97" s="426">
        <f t="shared" si="11"/>
        <v>3.6338594574570142</v>
      </c>
      <c r="E97" s="426">
        <f t="shared" si="12"/>
        <v>3.6338594574570142</v>
      </c>
      <c r="F97" s="426">
        <f t="shared" si="13"/>
        <v>3.6338594574570147</v>
      </c>
      <c r="G97" s="426">
        <f t="shared" si="13"/>
        <v>3.6338594574570142</v>
      </c>
      <c r="H97" s="426">
        <f t="shared" si="13"/>
        <v>3.6338594574570142</v>
      </c>
      <c r="I97" s="426">
        <f t="shared" si="13"/>
        <v>3.6338594574570142</v>
      </c>
    </row>
    <row r="98" spans="1:9" x14ac:dyDescent="0.25">
      <c r="A98">
        <f>'Annual Parameters'!B137</f>
        <v>2098</v>
      </c>
      <c r="B98" s="195">
        <f>'Annual Parameters'!T137</f>
        <v>2.1848471643739709</v>
      </c>
      <c r="C98" s="195">
        <f>'Annual Parameters'!U137</f>
        <v>2.1848471643739709</v>
      </c>
      <c r="D98" s="426">
        <f t="shared" si="11"/>
        <v>3.6657079291007539</v>
      </c>
      <c r="E98" s="426">
        <f t="shared" si="12"/>
        <v>3.6657079291007539</v>
      </c>
      <c r="F98" s="426">
        <f t="shared" si="13"/>
        <v>3.6657079291007539</v>
      </c>
      <c r="G98" s="426">
        <f t="shared" si="13"/>
        <v>3.6657079291007544</v>
      </c>
      <c r="H98" s="426">
        <f t="shared" si="13"/>
        <v>3.6657079291007544</v>
      </c>
      <c r="I98" s="426">
        <f t="shared" si="13"/>
        <v>3.6657079291007539</v>
      </c>
    </row>
    <row r="99" spans="1:9" x14ac:dyDescent="0.25">
      <c r="A99">
        <f>'Annual Parameters'!B138</f>
        <v>2099</v>
      </c>
      <c r="B99" s="195">
        <f>'Annual Parameters'!T138</f>
        <v>2.1848471643739709</v>
      </c>
      <c r="C99" s="195">
        <f>'Annual Parameters'!U138</f>
        <v>2.1848471643739709</v>
      </c>
      <c r="D99" s="426">
        <f t="shared" si="11"/>
        <v>3.6975564007444937</v>
      </c>
      <c r="E99" s="426">
        <f t="shared" si="12"/>
        <v>3.6975564007444937</v>
      </c>
      <c r="F99" s="426">
        <f t="shared" si="13"/>
        <v>3.6975564007444937</v>
      </c>
      <c r="G99" s="426">
        <f t="shared" si="13"/>
        <v>3.6975564007444941</v>
      </c>
      <c r="H99" s="426">
        <f t="shared" si="13"/>
        <v>3.6975564007444941</v>
      </c>
      <c r="I99" s="426">
        <f t="shared" si="13"/>
        <v>3.6975564007444941</v>
      </c>
    </row>
    <row r="100" spans="1:9" x14ac:dyDescent="0.25">
      <c r="A100">
        <f>'Annual Parameters'!B139</f>
        <v>2100</v>
      </c>
      <c r="B100" s="195">
        <f>'Annual Parameters'!T139</f>
        <v>2.1848471643739709</v>
      </c>
      <c r="C100" s="195">
        <f>'Annual Parameters'!U139</f>
        <v>2.1848471643739709</v>
      </c>
      <c r="D100" s="426">
        <f t="shared" si="11"/>
        <v>3.7294048723882334</v>
      </c>
      <c r="E100" s="426">
        <f t="shared" si="12"/>
        <v>3.7294048723882334</v>
      </c>
      <c r="F100" s="426">
        <f t="shared" si="13"/>
        <v>3.7294048723882334</v>
      </c>
      <c r="G100" s="426">
        <f t="shared" si="13"/>
        <v>3.7294048723882334</v>
      </c>
      <c r="H100" s="426">
        <f t="shared" si="13"/>
        <v>3.7294048723882334</v>
      </c>
      <c r="I100" s="426">
        <f t="shared" si="13"/>
        <v>3.7294048723882334</v>
      </c>
    </row>
  </sheetData>
  <mergeCells count="1">
    <mergeCell ref="K2:N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8000"/>
    <pageSetUpPr fitToPage="1"/>
  </sheetPr>
  <dimension ref="A1:Z142"/>
  <sheetViews>
    <sheetView showGridLines="0" zoomScale="85" zoomScaleNormal="85" workbookViewId="0">
      <selection activeCell="E31" sqref="E31"/>
    </sheetView>
  </sheetViews>
  <sheetFormatPr defaultColWidth="12.85546875" defaultRowHeight="13.5" customHeight="1" x14ac:dyDescent="0.25"/>
  <cols>
    <col min="1" max="11" width="12.85546875" style="84" customWidth="1"/>
    <col min="12" max="12" width="60.85546875" style="84" customWidth="1"/>
    <col min="13" max="13" width="12.85546875" style="84" customWidth="1"/>
    <col min="14" max="14" width="51.85546875" style="84" customWidth="1"/>
    <col min="15" max="18" width="12.85546875" style="84" customWidth="1"/>
    <col min="19" max="19" width="73.140625" style="84" customWidth="1"/>
    <col min="20" max="21" width="12.85546875" style="84" customWidth="1"/>
    <col min="22" max="22" width="12.85546875" style="85" customWidth="1"/>
    <col min="23" max="256" width="12.85546875" style="84"/>
    <col min="257" max="267" width="12.85546875" style="84" customWidth="1"/>
    <col min="268" max="268" width="60.85546875" style="84" customWidth="1"/>
    <col min="269" max="269" width="12.85546875" style="84" customWidth="1"/>
    <col min="270" max="270" width="51.85546875" style="84" customWidth="1"/>
    <col min="271" max="274" width="12.85546875" style="84" customWidth="1"/>
    <col min="275" max="275" width="73.140625" style="84" customWidth="1"/>
    <col min="276" max="278" width="12.85546875" style="84" customWidth="1"/>
    <col min="279" max="512" width="12.85546875" style="84"/>
    <col min="513" max="523" width="12.85546875" style="84" customWidth="1"/>
    <col min="524" max="524" width="60.85546875" style="84" customWidth="1"/>
    <col min="525" max="525" width="12.85546875" style="84" customWidth="1"/>
    <col min="526" max="526" width="51.85546875" style="84" customWidth="1"/>
    <col min="527" max="530" width="12.85546875" style="84" customWidth="1"/>
    <col min="531" max="531" width="73.140625" style="84" customWidth="1"/>
    <col min="532" max="534" width="12.85546875" style="84" customWidth="1"/>
    <col min="535" max="768" width="12.85546875" style="84"/>
    <col min="769" max="779" width="12.85546875" style="84" customWidth="1"/>
    <col min="780" max="780" width="60.85546875" style="84" customWidth="1"/>
    <col min="781" max="781" width="12.85546875" style="84" customWidth="1"/>
    <col min="782" max="782" width="51.85546875" style="84" customWidth="1"/>
    <col min="783" max="786" width="12.85546875" style="84" customWidth="1"/>
    <col min="787" max="787" width="73.140625" style="84" customWidth="1"/>
    <col min="788" max="790" width="12.85546875" style="84" customWidth="1"/>
    <col min="791" max="1024" width="12.85546875" style="84"/>
    <col min="1025" max="1035" width="12.85546875" style="84" customWidth="1"/>
    <col min="1036" max="1036" width="60.85546875" style="84" customWidth="1"/>
    <col min="1037" max="1037" width="12.85546875" style="84" customWidth="1"/>
    <col min="1038" max="1038" width="51.85546875" style="84" customWidth="1"/>
    <col min="1039" max="1042" width="12.85546875" style="84" customWidth="1"/>
    <col min="1043" max="1043" width="73.140625" style="84" customWidth="1"/>
    <col min="1044" max="1046" width="12.85546875" style="84" customWidth="1"/>
    <col min="1047" max="1280" width="12.85546875" style="84"/>
    <col min="1281" max="1291" width="12.85546875" style="84" customWidth="1"/>
    <col min="1292" max="1292" width="60.85546875" style="84" customWidth="1"/>
    <col min="1293" max="1293" width="12.85546875" style="84" customWidth="1"/>
    <col min="1294" max="1294" width="51.85546875" style="84" customWidth="1"/>
    <col min="1295" max="1298" width="12.85546875" style="84" customWidth="1"/>
    <col min="1299" max="1299" width="73.140625" style="84" customWidth="1"/>
    <col min="1300" max="1302" width="12.85546875" style="84" customWidth="1"/>
    <col min="1303" max="1536" width="12.85546875" style="84"/>
    <col min="1537" max="1547" width="12.85546875" style="84" customWidth="1"/>
    <col min="1548" max="1548" width="60.85546875" style="84" customWidth="1"/>
    <col min="1549" max="1549" width="12.85546875" style="84" customWidth="1"/>
    <col min="1550" max="1550" width="51.85546875" style="84" customWidth="1"/>
    <col min="1551" max="1554" width="12.85546875" style="84" customWidth="1"/>
    <col min="1555" max="1555" width="73.140625" style="84" customWidth="1"/>
    <col min="1556" max="1558" width="12.85546875" style="84" customWidth="1"/>
    <col min="1559" max="1792" width="12.85546875" style="84"/>
    <col min="1793" max="1803" width="12.85546875" style="84" customWidth="1"/>
    <col min="1804" max="1804" width="60.85546875" style="84" customWidth="1"/>
    <col min="1805" max="1805" width="12.85546875" style="84" customWidth="1"/>
    <col min="1806" max="1806" width="51.85546875" style="84" customWidth="1"/>
    <col min="1807" max="1810" width="12.85546875" style="84" customWidth="1"/>
    <col min="1811" max="1811" width="73.140625" style="84" customWidth="1"/>
    <col min="1812" max="1814" width="12.85546875" style="84" customWidth="1"/>
    <col min="1815" max="2048" width="12.85546875" style="84"/>
    <col min="2049" max="2059" width="12.85546875" style="84" customWidth="1"/>
    <col min="2060" max="2060" width="60.85546875" style="84" customWidth="1"/>
    <col min="2061" max="2061" width="12.85546875" style="84" customWidth="1"/>
    <col min="2062" max="2062" width="51.85546875" style="84" customWidth="1"/>
    <col min="2063" max="2066" width="12.85546875" style="84" customWidth="1"/>
    <col min="2067" max="2067" width="73.140625" style="84" customWidth="1"/>
    <col min="2068" max="2070" width="12.85546875" style="84" customWidth="1"/>
    <col min="2071" max="2304" width="12.85546875" style="84"/>
    <col min="2305" max="2315" width="12.85546875" style="84" customWidth="1"/>
    <col min="2316" max="2316" width="60.85546875" style="84" customWidth="1"/>
    <col min="2317" max="2317" width="12.85546875" style="84" customWidth="1"/>
    <col min="2318" max="2318" width="51.85546875" style="84" customWidth="1"/>
    <col min="2319" max="2322" width="12.85546875" style="84" customWidth="1"/>
    <col min="2323" max="2323" width="73.140625" style="84" customWidth="1"/>
    <col min="2324" max="2326" width="12.85546875" style="84" customWidth="1"/>
    <col min="2327" max="2560" width="12.85546875" style="84"/>
    <col min="2561" max="2571" width="12.85546875" style="84" customWidth="1"/>
    <col min="2572" max="2572" width="60.85546875" style="84" customWidth="1"/>
    <col min="2573" max="2573" width="12.85546875" style="84" customWidth="1"/>
    <col min="2574" max="2574" width="51.85546875" style="84" customWidth="1"/>
    <col min="2575" max="2578" width="12.85546875" style="84" customWidth="1"/>
    <col min="2579" max="2579" width="73.140625" style="84" customWidth="1"/>
    <col min="2580" max="2582" width="12.85546875" style="84" customWidth="1"/>
    <col min="2583" max="2816" width="12.85546875" style="84"/>
    <col min="2817" max="2827" width="12.85546875" style="84" customWidth="1"/>
    <col min="2828" max="2828" width="60.85546875" style="84" customWidth="1"/>
    <col min="2829" max="2829" width="12.85546875" style="84" customWidth="1"/>
    <col min="2830" max="2830" width="51.85546875" style="84" customWidth="1"/>
    <col min="2831" max="2834" width="12.85546875" style="84" customWidth="1"/>
    <col min="2835" max="2835" width="73.140625" style="84" customWidth="1"/>
    <col min="2836" max="2838" width="12.85546875" style="84" customWidth="1"/>
    <col min="2839" max="3072" width="12.85546875" style="84"/>
    <col min="3073" max="3083" width="12.85546875" style="84" customWidth="1"/>
    <col min="3084" max="3084" width="60.85546875" style="84" customWidth="1"/>
    <col min="3085" max="3085" width="12.85546875" style="84" customWidth="1"/>
    <col min="3086" max="3086" width="51.85546875" style="84" customWidth="1"/>
    <col min="3087" max="3090" width="12.85546875" style="84" customWidth="1"/>
    <col min="3091" max="3091" width="73.140625" style="84" customWidth="1"/>
    <col min="3092" max="3094" width="12.85546875" style="84" customWidth="1"/>
    <col min="3095" max="3328" width="12.85546875" style="84"/>
    <col min="3329" max="3339" width="12.85546875" style="84" customWidth="1"/>
    <col min="3340" max="3340" width="60.85546875" style="84" customWidth="1"/>
    <col min="3341" max="3341" width="12.85546875" style="84" customWidth="1"/>
    <col min="3342" max="3342" width="51.85546875" style="84" customWidth="1"/>
    <col min="3343" max="3346" width="12.85546875" style="84" customWidth="1"/>
    <col min="3347" max="3347" width="73.140625" style="84" customWidth="1"/>
    <col min="3348" max="3350" width="12.85546875" style="84" customWidth="1"/>
    <col min="3351" max="3584" width="12.85546875" style="84"/>
    <col min="3585" max="3595" width="12.85546875" style="84" customWidth="1"/>
    <col min="3596" max="3596" width="60.85546875" style="84" customWidth="1"/>
    <col min="3597" max="3597" width="12.85546875" style="84" customWidth="1"/>
    <col min="3598" max="3598" width="51.85546875" style="84" customWidth="1"/>
    <col min="3599" max="3602" width="12.85546875" style="84" customWidth="1"/>
    <col min="3603" max="3603" width="73.140625" style="84" customWidth="1"/>
    <col min="3604" max="3606" width="12.85546875" style="84" customWidth="1"/>
    <col min="3607" max="3840" width="12.85546875" style="84"/>
    <col min="3841" max="3851" width="12.85546875" style="84" customWidth="1"/>
    <col min="3852" max="3852" width="60.85546875" style="84" customWidth="1"/>
    <col min="3853" max="3853" width="12.85546875" style="84" customWidth="1"/>
    <col min="3854" max="3854" width="51.85546875" style="84" customWidth="1"/>
    <col min="3855" max="3858" width="12.85546875" style="84" customWidth="1"/>
    <col min="3859" max="3859" width="73.140625" style="84" customWidth="1"/>
    <col min="3860" max="3862" width="12.85546875" style="84" customWidth="1"/>
    <col min="3863" max="4096" width="12.85546875" style="84"/>
    <col min="4097" max="4107" width="12.85546875" style="84" customWidth="1"/>
    <col min="4108" max="4108" width="60.85546875" style="84" customWidth="1"/>
    <col min="4109" max="4109" width="12.85546875" style="84" customWidth="1"/>
    <col min="4110" max="4110" width="51.85546875" style="84" customWidth="1"/>
    <col min="4111" max="4114" width="12.85546875" style="84" customWidth="1"/>
    <col min="4115" max="4115" width="73.140625" style="84" customWidth="1"/>
    <col min="4116" max="4118" width="12.85546875" style="84" customWidth="1"/>
    <col min="4119" max="4352" width="12.85546875" style="84"/>
    <col min="4353" max="4363" width="12.85546875" style="84" customWidth="1"/>
    <col min="4364" max="4364" width="60.85546875" style="84" customWidth="1"/>
    <col min="4365" max="4365" width="12.85546875" style="84" customWidth="1"/>
    <col min="4366" max="4366" width="51.85546875" style="84" customWidth="1"/>
    <col min="4367" max="4370" width="12.85546875" style="84" customWidth="1"/>
    <col min="4371" max="4371" width="73.140625" style="84" customWidth="1"/>
    <col min="4372" max="4374" width="12.85546875" style="84" customWidth="1"/>
    <col min="4375" max="4608" width="12.85546875" style="84"/>
    <col min="4609" max="4619" width="12.85546875" style="84" customWidth="1"/>
    <col min="4620" max="4620" width="60.85546875" style="84" customWidth="1"/>
    <col min="4621" max="4621" width="12.85546875" style="84" customWidth="1"/>
    <col min="4622" max="4622" width="51.85546875" style="84" customWidth="1"/>
    <col min="4623" max="4626" width="12.85546875" style="84" customWidth="1"/>
    <col min="4627" max="4627" width="73.140625" style="84" customWidth="1"/>
    <col min="4628" max="4630" width="12.85546875" style="84" customWidth="1"/>
    <col min="4631" max="4864" width="12.85546875" style="84"/>
    <col min="4865" max="4875" width="12.85546875" style="84" customWidth="1"/>
    <col min="4876" max="4876" width="60.85546875" style="84" customWidth="1"/>
    <col min="4877" max="4877" width="12.85546875" style="84" customWidth="1"/>
    <col min="4878" max="4878" width="51.85546875" style="84" customWidth="1"/>
    <col min="4879" max="4882" width="12.85546875" style="84" customWidth="1"/>
    <col min="4883" max="4883" width="73.140625" style="84" customWidth="1"/>
    <col min="4884" max="4886" width="12.85546875" style="84" customWidth="1"/>
    <col min="4887" max="5120" width="12.85546875" style="84"/>
    <col min="5121" max="5131" width="12.85546875" style="84" customWidth="1"/>
    <col min="5132" max="5132" width="60.85546875" style="84" customWidth="1"/>
    <col min="5133" max="5133" width="12.85546875" style="84" customWidth="1"/>
    <col min="5134" max="5134" width="51.85546875" style="84" customWidth="1"/>
    <col min="5135" max="5138" width="12.85546875" style="84" customWidth="1"/>
    <col min="5139" max="5139" width="73.140625" style="84" customWidth="1"/>
    <col min="5140" max="5142" width="12.85546875" style="84" customWidth="1"/>
    <col min="5143" max="5376" width="12.85546875" style="84"/>
    <col min="5377" max="5387" width="12.85546875" style="84" customWidth="1"/>
    <col min="5388" max="5388" width="60.85546875" style="84" customWidth="1"/>
    <col min="5389" max="5389" width="12.85546875" style="84" customWidth="1"/>
    <col min="5390" max="5390" width="51.85546875" style="84" customWidth="1"/>
    <col min="5391" max="5394" width="12.85546875" style="84" customWidth="1"/>
    <col min="5395" max="5395" width="73.140625" style="84" customWidth="1"/>
    <col min="5396" max="5398" width="12.85546875" style="84" customWidth="1"/>
    <col min="5399" max="5632" width="12.85546875" style="84"/>
    <col min="5633" max="5643" width="12.85546875" style="84" customWidth="1"/>
    <col min="5644" max="5644" width="60.85546875" style="84" customWidth="1"/>
    <col min="5645" max="5645" width="12.85546875" style="84" customWidth="1"/>
    <col min="5646" max="5646" width="51.85546875" style="84" customWidth="1"/>
    <col min="5647" max="5650" width="12.85546875" style="84" customWidth="1"/>
    <col min="5651" max="5651" width="73.140625" style="84" customWidth="1"/>
    <col min="5652" max="5654" width="12.85546875" style="84" customWidth="1"/>
    <col min="5655" max="5888" width="12.85546875" style="84"/>
    <col min="5889" max="5899" width="12.85546875" style="84" customWidth="1"/>
    <col min="5900" max="5900" width="60.85546875" style="84" customWidth="1"/>
    <col min="5901" max="5901" width="12.85546875" style="84" customWidth="1"/>
    <col min="5902" max="5902" width="51.85546875" style="84" customWidth="1"/>
    <col min="5903" max="5906" width="12.85546875" style="84" customWidth="1"/>
    <col min="5907" max="5907" width="73.140625" style="84" customWidth="1"/>
    <col min="5908" max="5910" width="12.85546875" style="84" customWidth="1"/>
    <col min="5911" max="6144" width="12.85546875" style="84"/>
    <col min="6145" max="6155" width="12.85546875" style="84" customWidth="1"/>
    <col min="6156" max="6156" width="60.85546875" style="84" customWidth="1"/>
    <col min="6157" max="6157" width="12.85546875" style="84" customWidth="1"/>
    <col min="6158" max="6158" width="51.85546875" style="84" customWidth="1"/>
    <col min="6159" max="6162" width="12.85546875" style="84" customWidth="1"/>
    <col min="6163" max="6163" width="73.140625" style="84" customWidth="1"/>
    <col min="6164" max="6166" width="12.85546875" style="84" customWidth="1"/>
    <col min="6167" max="6400" width="12.85546875" style="84"/>
    <col min="6401" max="6411" width="12.85546875" style="84" customWidth="1"/>
    <col min="6412" max="6412" width="60.85546875" style="84" customWidth="1"/>
    <col min="6413" max="6413" width="12.85546875" style="84" customWidth="1"/>
    <col min="6414" max="6414" width="51.85546875" style="84" customWidth="1"/>
    <col min="6415" max="6418" width="12.85546875" style="84" customWidth="1"/>
    <col min="6419" max="6419" width="73.140625" style="84" customWidth="1"/>
    <col min="6420" max="6422" width="12.85546875" style="84" customWidth="1"/>
    <col min="6423" max="6656" width="12.85546875" style="84"/>
    <col min="6657" max="6667" width="12.85546875" style="84" customWidth="1"/>
    <col min="6668" max="6668" width="60.85546875" style="84" customWidth="1"/>
    <col min="6669" max="6669" width="12.85546875" style="84" customWidth="1"/>
    <col min="6670" max="6670" width="51.85546875" style="84" customWidth="1"/>
    <col min="6671" max="6674" width="12.85546875" style="84" customWidth="1"/>
    <col min="6675" max="6675" width="73.140625" style="84" customWidth="1"/>
    <col min="6676" max="6678" width="12.85546875" style="84" customWidth="1"/>
    <col min="6679" max="6912" width="12.85546875" style="84"/>
    <col min="6913" max="6923" width="12.85546875" style="84" customWidth="1"/>
    <col min="6924" max="6924" width="60.85546875" style="84" customWidth="1"/>
    <col min="6925" max="6925" width="12.85546875" style="84" customWidth="1"/>
    <col min="6926" max="6926" width="51.85546875" style="84" customWidth="1"/>
    <col min="6927" max="6930" width="12.85546875" style="84" customWidth="1"/>
    <col min="6931" max="6931" width="73.140625" style="84" customWidth="1"/>
    <col min="6932" max="6934" width="12.85546875" style="84" customWidth="1"/>
    <col min="6935" max="7168" width="12.85546875" style="84"/>
    <col min="7169" max="7179" width="12.85546875" style="84" customWidth="1"/>
    <col min="7180" max="7180" width="60.85546875" style="84" customWidth="1"/>
    <col min="7181" max="7181" width="12.85546875" style="84" customWidth="1"/>
    <col min="7182" max="7182" width="51.85546875" style="84" customWidth="1"/>
    <col min="7183" max="7186" width="12.85546875" style="84" customWidth="1"/>
    <col min="7187" max="7187" width="73.140625" style="84" customWidth="1"/>
    <col min="7188" max="7190" width="12.85546875" style="84" customWidth="1"/>
    <col min="7191" max="7424" width="12.85546875" style="84"/>
    <col min="7425" max="7435" width="12.85546875" style="84" customWidth="1"/>
    <col min="7436" max="7436" width="60.85546875" style="84" customWidth="1"/>
    <col min="7437" max="7437" width="12.85546875" style="84" customWidth="1"/>
    <col min="7438" max="7438" width="51.85546875" style="84" customWidth="1"/>
    <col min="7439" max="7442" width="12.85546875" style="84" customWidth="1"/>
    <col min="7443" max="7443" width="73.140625" style="84" customWidth="1"/>
    <col min="7444" max="7446" width="12.85546875" style="84" customWidth="1"/>
    <col min="7447" max="7680" width="12.85546875" style="84"/>
    <col min="7681" max="7691" width="12.85546875" style="84" customWidth="1"/>
    <col min="7692" max="7692" width="60.85546875" style="84" customWidth="1"/>
    <col min="7693" max="7693" width="12.85546875" style="84" customWidth="1"/>
    <col min="7694" max="7694" width="51.85546875" style="84" customWidth="1"/>
    <col min="7695" max="7698" width="12.85546875" style="84" customWidth="1"/>
    <col min="7699" max="7699" width="73.140625" style="84" customWidth="1"/>
    <col min="7700" max="7702" width="12.85546875" style="84" customWidth="1"/>
    <col min="7703" max="7936" width="12.85546875" style="84"/>
    <col min="7937" max="7947" width="12.85546875" style="84" customWidth="1"/>
    <col min="7948" max="7948" width="60.85546875" style="84" customWidth="1"/>
    <col min="7949" max="7949" width="12.85546875" style="84" customWidth="1"/>
    <col min="7950" max="7950" width="51.85546875" style="84" customWidth="1"/>
    <col min="7951" max="7954" width="12.85546875" style="84" customWidth="1"/>
    <col min="7955" max="7955" width="73.140625" style="84" customWidth="1"/>
    <col min="7956" max="7958" width="12.85546875" style="84" customWidth="1"/>
    <col min="7959" max="8192" width="12.85546875" style="84"/>
    <col min="8193" max="8203" width="12.85546875" style="84" customWidth="1"/>
    <col min="8204" max="8204" width="60.85546875" style="84" customWidth="1"/>
    <col min="8205" max="8205" width="12.85546875" style="84" customWidth="1"/>
    <col min="8206" max="8206" width="51.85546875" style="84" customWidth="1"/>
    <col min="8207" max="8210" width="12.85546875" style="84" customWidth="1"/>
    <col min="8211" max="8211" width="73.140625" style="84" customWidth="1"/>
    <col min="8212" max="8214" width="12.85546875" style="84" customWidth="1"/>
    <col min="8215" max="8448" width="12.85546875" style="84"/>
    <col min="8449" max="8459" width="12.85546875" style="84" customWidth="1"/>
    <col min="8460" max="8460" width="60.85546875" style="84" customWidth="1"/>
    <col min="8461" max="8461" width="12.85546875" style="84" customWidth="1"/>
    <col min="8462" max="8462" width="51.85546875" style="84" customWidth="1"/>
    <col min="8463" max="8466" width="12.85546875" style="84" customWidth="1"/>
    <col min="8467" max="8467" width="73.140625" style="84" customWidth="1"/>
    <col min="8468" max="8470" width="12.85546875" style="84" customWidth="1"/>
    <col min="8471" max="8704" width="12.85546875" style="84"/>
    <col min="8705" max="8715" width="12.85546875" style="84" customWidth="1"/>
    <col min="8716" max="8716" width="60.85546875" style="84" customWidth="1"/>
    <col min="8717" max="8717" width="12.85546875" style="84" customWidth="1"/>
    <col min="8718" max="8718" width="51.85546875" style="84" customWidth="1"/>
    <col min="8719" max="8722" width="12.85546875" style="84" customWidth="1"/>
    <col min="8723" max="8723" width="73.140625" style="84" customWidth="1"/>
    <col min="8724" max="8726" width="12.85546875" style="84" customWidth="1"/>
    <col min="8727" max="8960" width="12.85546875" style="84"/>
    <col min="8961" max="8971" width="12.85546875" style="84" customWidth="1"/>
    <col min="8972" max="8972" width="60.85546875" style="84" customWidth="1"/>
    <col min="8973" max="8973" width="12.85546875" style="84" customWidth="1"/>
    <col min="8974" max="8974" width="51.85546875" style="84" customWidth="1"/>
    <col min="8975" max="8978" width="12.85546875" style="84" customWidth="1"/>
    <col min="8979" max="8979" width="73.140625" style="84" customWidth="1"/>
    <col min="8980" max="8982" width="12.85546875" style="84" customWidth="1"/>
    <col min="8983" max="9216" width="12.85546875" style="84"/>
    <col min="9217" max="9227" width="12.85546875" style="84" customWidth="1"/>
    <col min="9228" max="9228" width="60.85546875" style="84" customWidth="1"/>
    <col min="9229" max="9229" width="12.85546875" style="84" customWidth="1"/>
    <col min="9230" max="9230" width="51.85546875" style="84" customWidth="1"/>
    <col min="9231" max="9234" width="12.85546875" style="84" customWidth="1"/>
    <col min="9235" max="9235" width="73.140625" style="84" customWidth="1"/>
    <col min="9236" max="9238" width="12.85546875" style="84" customWidth="1"/>
    <col min="9239" max="9472" width="12.85546875" style="84"/>
    <col min="9473" max="9483" width="12.85546875" style="84" customWidth="1"/>
    <col min="9484" max="9484" width="60.85546875" style="84" customWidth="1"/>
    <col min="9485" max="9485" width="12.85546875" style="84" customWidth="1"/>
    <col min="9486" max="9486" width="51.85546875" style="84" customWidth="1"/>
    <col min="9487" max="9490" width="12.85546875" style="84" customWidth="1"/>
    <col min="9491" max="9491" width="73.140625" style="84" customWidth="1"/>
    <col min="9492" max="9494" width="12.85546875" style="84" customWidth="1"/>
    <col min="9495" max="9728" width="12.85546875" style="84"/>
    <col min="9729" max="9739" width="12.85546875" style="84" customWidth="1"/>
    <col min="9740" max="9740" width="60.85546875" style="84" customWidth="1"/>
    <col min="9741" max="9741" width="12.85546875" style="84" customWidth="1"/>
    <col min="9742" max="9742" width="51.85546875" style="84" customWidth="1"/>
    <col min="9743" max="9746" width="12.85546875" style="84" customWidth="1"/>
    <col min="9747" max="9747" width="73.140625" style="84" customWidth="1"/>
    <col min="9748" max="9750" width="12.85546875" style="84" customWidth="1"/>
    <col min="9751" max="9984" width="12.85546875" style="84"/>
    <col min="9985" max="9995" width="12.85546875" style="84" customWidth="1"/>
    <col min="9996" max="9996" width="60.85546875" style="84" customWidth="1"/>
    <col min="9997" max="9997" width="12.85546875" style="84" customWidth="1"/>
    <col min="9998" max="9998" width="51.85546875" style="84" customWidth="1"/>
    <col min="9999" max="10002" width="12.85546875" style="84" customWidth="1"/>
    <col min="10003" max="10003" width="73.140625" style="84" customWidth="1"/>
    <col min="10004" max="10006" width="12.85546875" style="84" customWidth="1"/>
    <col min="10007" max="10240" width="12.85546875" style="84"/>
    <col min="10241" max="10251" width="12.85546875" style="84" customWidth="1"/>
    <col min="10252" max="10252" width="60.85546875" style="84" customWidth="1"/>
    <col min="10253" max="10253" width="12.85546875" style="84" customWidth="1"/>
    <col min="10254" max="10254" width="51.85546875" style="84" customWidth="1"/>
    <col min="10255" max="10258" width="12.85546875" style="84" customWidth="1"/>
    <col min="10259" max="10259" width="73.140625" style="84" customWidth="1"/>
    <col min="10260" max="10262" width="12.85546875" style="84" customWidth="1"/>
    <col min="10263" max="10496" width="12.85546875" style="84"/>
    <col min="10497" max="10507" width="12.85546875" style="84" customWidth="1"/>
    <col min="10508" max="10508" width="60.85546875" style="84" customWidth="1"/>
    <col min="10509" max="10509" width="12.85546875" style="84" customWidth="1"/>
    <col min="10510" max="10510" width="51.85546875" style="84" customWidth="1"/>
    <col min="10511" max="10514" width="12.85546875" style="84" customWidth="1"/>
    <col min="10515" max="10515" width="73.140625" style="84" customWidth="1"/>
    <col min="10516" max="10518" width="12.85546875" style="84" customWidth="1"/>
    <col min="10519" max="10752" width="12.85546875" style="84"/>
    <col min="10753" max="10763" width="12.85546875" style="84" customWidth="1"/>
    <col min="10764" max="10764" width="60.85546875" style="84" customWidth="1"/>
    <col min="10765" max="10765" width="12.85546875" style="84" customWidth="1"/>
    <col min="10766" max="10766" width="51.85546875" style="84" customWidth="1"/>
    <col min="10767" max="10770" width="12.85546875" style="84" customWidth="1"/>
    <col min="10771" max="10771" width="73.140625" style="84" customWidth="1"/>
    <col min="10772" max="10774" width="12.85546875" style="84" customWidth="1"/>
    <col min="10775" max="11008" width="12.85546875" style="84"/>
    <col min="11009" max="11019" width="12.85546875" style="84" customWidth="1"/>
    <col min="11020" max="11020" width="60.85546875" style="84" customWidth="1"/>
    <col min="11021" max="11021" width="12.85546875" style="84" customWidth="1"/>
    <col min="11022" max="11022" width="51.85546875" style="84" customWidth="1"/>
    <col min="11023" max="11026" width="12.85546875" style="84" customWidth="1"/>
    <col min="11027" max="11027" width="73.140625" style="84" customWidth="1"/>
    <col min="11028" max="11030" width="12.85546875" style="84" customWidth="1"/>
    <col min="11031" max="11264" width="12.85546875" style="84"/>
    <col min="11265" max="11275" width="12.85546875" style="84" customWidth="1"/>
    <col min="11276" max="11276" width="60.85546875" style="84" customWidth="1"/>
    <col min="11277" max="11277" width="12.85546875" style="84" customWidth="1"/>
    <col min="11278" max="11278" width="51.85546875" style="84" customWidth="1"/>
    <col min="11279" max="11282" width="12.85546875" style="84" customWidth="1"/>
    <col min="11283" max="11283" width="73.140625" style="84" customWidth="1"/>
    <col min="11284" max="11286" width="12.85546875" style="84" customWidth="1"/>
    <col min="11287" max="11520" width="12.85546875" style="84"/>
    <col min="11521" max="11531" width="12.85546875" style="84" customWidth="1"/>
    <col min="11532" max="11532" width="60.85546875" style="84" customWidth="1"/>
    <col min="11533" max="11533" width="12.85546875" style="84" customWidth="1"/>
    <col min="11534" max="11534" width="51.85546875" style="84" customWidth="1"/>
    <col min="11535" max="11538" width="12.85546875" style="84" customWidth="1"/>
    <col min="11539" max="11539" width="73.140625" style="84" customWidth="1"/>
    <col min="11540" max="11542" width="12.85546875" style="84" customWidth="1"/>
    <col min="11543" max="11776" width="12.85546875" style="84"/>
    <col min="11777" max="11787" width="12.85546875" style="84" customWidth="1"/>
    <col min="11788" max="11788" width="60.85546875" style="84" customWidth="1"/>
    <col min="11789" max="11789" width="12.85546875" style="84" customWidth="1"/>
    <col min="11790" max="11790" width="51.85546875" style="84" customWidth="1"/>
    <col min="11791" max="11794" width="12.85546875" style="84" customWidth="1"/>
    <col min="11795" max="11795" width="73.140625" style="84" customWidth="1"/>
    <col min="11796" max="11798" width="12.85546875" style="84" customWidth="1"/>
    <col min="11799" max="12032" width="12.85546875" style="84"/>
    <col min="12033" max="12043" width="12.85546875" style="84" customWidth="1"/>
    <col min="12044" max="12044" width="60.85546875" style="84" customWidth="1"/>
    <col min="12045" max="12045" width="12.85546875" style="84" customWidth="1"/>
    <col min="12046" max="12046" width="51.85546875" style="84" customWidth="1"/>
    <col min="12047" max="12050" width="12.85546875" style="84" customWidth="1"/>
    <col min="12051" max="12051" width="73.140625" style="84" customWidth="1"/>
    <col min="12052" max="12054" width="12.85546875" style="84" customWidth="1"/>
    <col min="12055" max="12288" width="12.85546875" style="84"/>
    <col min="12289" max="12299" width="12.85546875" style="84" customWidth="1"/>
    <col min="12300" max="12300" width="60.85546875" style="84" customWidth="1"/>
    <col min="12301" max="12301" width="12.85546875" style="84" customWidth="1"/>
    <col min="12302" max="12302" width="51.85546875" style="84" customWidth="1"/>
    <col min="12303" max="12306" width="12.85546875" style="84" customWidth="1"/>
    <col min="12307" max="12307" width="73.140625" style="84" customWidth="1"/>
    <col min="12308" max="12310" width="12.85546875" style="84" customWidth="1"/>
    <col min="12311" max="12544" width="12.85546875" style="84"/>
    <col min="12545" max="12555" width="12.85546875" style="84" customWidth="1"/>
    <col min="12556" max="12556" width="60.85546875" style="84" customWidth="1"/>
    <col min="12557" max="12557" width="12.85546875" style="84" customWidth="1"/>
    <col min="12558" max="12558" width="51.85546875" style="84" customWidth="1"/>
    <col min="12559" max="12562" width="12.85546875" style="84" customWidth="1"/>
    <col min="12563" max="12563" width="73.140625" style="84" customWidth="1"/>
    <col min="12564" max="12566" width="12.85546875" style="84" customWidth="1"/>
    <col min="12567" max="12800" width="12.85546875" style="84"/>
    <col min="12801" max="12811" width="12.85546875" style="84" customWidth="1"/>
    <col min="12812" max="12812" width="60.85546875" style="84" customWidth="1"/>
    <col min="12813" max="12813" width="12.85546875" style="84" customWidth="1"/>
    <col min="12814" max="12814" width="51.85546875" style="84" customWidth="1"/>
    <col min="12815" max="12818" width="12.85546875" style="84" customWidth="1"/>
    <col min="12819" max="12819" width="73.140625" style="84" customWidth="1"/>
    <col min="12820" max="12822" width="12.85546875" style="84" customWidth="1"/>
    <col min="12823" max="13056" width="12.85546875" style="84"/>
    <col min="13057" max="13067" width="12.85546875" style="84" customWidth="1"/>
    <col min="13068" max="13068" width="60.85546875" style="84" customWidth="1"/>
    <col min="13069" max="13069" width="12.85546875" style="84" customWidth="1"/>
    <col min="13070" max="13070" width="51.85546875" style="84" customWidth="1"/>
    <col min="13071" max="13074" width="12.85546875" style="84" customWidth="1"/>
    <col min="13075" max="13075" width="73.140625" style="84" customWidth="1"/>
    <col min="13076" max="13078" width="12.85546875" style="84" customWidth="1"/>
    <col min="13079" max="13312" width="12.85546875" style="84"/>
    <col min="13313" max="13323" width="12.85546875" style="84" customWidth="1"/>
    <col min="13324" max="13324" width="60.85546875" style="84" customWidth="1"/>
    <col min="13325" max="13325" width="12.85546875" style="84" customWidth="1"/>
    <col min="13326" max="13326" width="51.85546875" style="84" customWidth="1"/>
    <col min="13327" max="13330" width="12.85546875" style="84" customWidth="1"/>
    <col min="13331" max="13331" width="73.140625" style="84" customWidth="1"/>
    <col min="13332" max="13334" width="12.85546875" style="84" customWidth="1"/>
    <col min="13335" max="13568" width="12.85546875" style="84"/>
    <col min="13569" max="13579" width="12.85546875" style="84" customWidth="1"/>
    <col min="13580" max="13580" width="60.85546875" style="84" customWidth="1"/>
    <col min="13581" max="13581" width="12.85546875" style="84" customWidth="1"/>
    <col min="13582" max="13582" width="51.85546875" style="84" customWidth="1"/>
    <col min="13583" max="13586" width="12.85546875" style="84" customWidth="1"/>
    <col min="13587" max="13587" width="73.140625" style="84" customWidth="1"/>
    <col min="13588" max="13590" width="12.85546875" style="84" customWidth="1"/>
    <col min="13591" max="13824" width="12.85546875" style="84"/>
    <col min="13825" max="13835" width="12.85546875" style="84" customWidth="1"/>
    <col min="13836" max="13836" width="60.85546875" style="84" customWidth="1"/>
    <col min="13837" max="13837" width="12.85546875" style="84" customWidth="1"/>
    <col min="13838" max="13838" width="51.85546875" style="84" customWidth="1"/>
    <col min="13839" max="13842" width="12.85546875" style="84" customWidth="1"/>
    <col min="13843" max="13843" width="73.140625" style="84" customWidth="1"/>
    <col min="13844" max="13846" width="12.85546875" style="84" customWidth="1"/>
    <col min="13847" max="14080" width="12.85546875" style="84"/>
    <col min="14081" max="14091" width="12.85546875" style="84" customWidth="1"/>
    <col min="14092" max="14092" width="60.85546875" style="84" customWidth="1"/>
    <col min="14093" max="14093" width="12.85546875" style="84" customWidth="1"/>
    <col min="14094" max="14094" width="51.85546875" style="84" customWidth="1"/>
    <col min="14095" max="14098" width="12.85546875" style="84" customWidth="1"/>
    <col min="14099" max="14099" width="73.140625" style="84" customWidth="1"/>
    <col min="14100" max="14102" width="12.85546875" style="84" customWidth="1"/>
    <col min="14103" max="14336" width="12.85546875" style="84"/>
    <col min="14337" max="14347" width="12.85546875" style="84" customWidth="1"/>
    <col min="14348" max="14348" width="60.85546875" style="84" customWidth="1"/>
    <col min="14349" max="14349" width="12.85546875" style="84" customWidth="1"/>
    <col min="14350" max="14350" width="51.85546875" style="84" customWidth="1"/>
    <col min="14351" max="14354" width="12.85546875" style="84" customWidth="1"/>
    <col min="14355" max="14355" width="73.140625" style="84" customWidth="1"/>
    <col min="14356" max="14358" width="12.85546875" style="84" customWidth="1"/>
    <col min="14359" max="14592" width="12.85546875" style="84"/>
    <col min="14593" max="14603" width="12.85546875" style="84" customWidth="1"/>
    <col min="14604" max="14604" width="60.85546875" style="84" customWidth="1"/>
    <col min="14605" max="14605" width="12.85546875" style="84" customWidth="1"/>
    <col min="14606" max="14606" width="51.85546875" style="84" customWidth="1"/>
    <col min="14607" max="14610" width="12.85546875" style="84" customWidth="1"/>
    <col min="14611" max="14611" width="73.140625" style="84" customWidth="1"/>
    <col min="14612" max="14614" width="12.85546875" style="84" customWidth="1"/>
    <col min="14615" max="14848" width="12.85546875" style="84"/>
    <col min="14849" max="14859" width="12.85546875" style="84" customWidth="1"/>
    <col min="14860" max="14860" width="60.85546875" style="84" customWidth="1"/>
    <col min="14861" max="14861" width="12.85546875" style="84" customWidth="1"/>
    <col min="14862" max="14862" width="51.85546875" style="84" customWidth="1"/>
    <col min="14863" max="14866" width="12.85546875" style="84" customWidth="1"/>
    <col min="14867" max="14867" width="73.140625" style="84" customWidth="1"/>
    <col min="14868" max="14870" width="12.85546875" style="84" customWidth="1"/>
    <col min="14871" max="15104" width="12.85546875" style="84"/>
    <col min="15105" max="15115" width="12.85546875" style="84" customWidth="1"/>
    <col min="15116" max="15116" width="60.85546875" style="84" customWidth="1"/>
    <col min="15117" max="15117" width="12.85546875" style="84" customWidth="1"/>
    <col min="15118" max="15118" width="51.85546875" style="84" customWidth="1"/>
    <col min="15119" max="15122" width="12.85546875" style="84" customWidth="1"/>
    <col min="15123" max="15123" width="73.140625" style="84" customWidth="1"/>
    <col min="15124" max="15126" width="12.85546875" style="84" customWidth="1"/>
    <col min="15127" max="15360" width="12.85546875" style="84"/>
    <col min="15361" max="15371" width="12.85546875" style="84" customWidth="1"/>
    <col min="15372" max="15372" width="60.85546875" style="84" customWidth="1"/>
    <col min="15373" max="15373" width="12.85546875" style="84" customWidth="1"/>
    <col min="15374" max="15374" width="51.85546875" style="84" customWidth="1"/>
    <col min="15375" max="15378" width="12.85546875" style="84" customWidth="1"/>
    <col min="15379" max="15379" width="73.140625" style="84" customWidth="1"/>
    <col min="15380" max="15382" width="12.85546875" style="84" customWidth="1"/>
    <col min="15383" max="15616" width="12.85546875" style="84"/>
    <col min="15617" max="15627" width="12.85546875" style="84" customWidth="1"/>
    <col min="15628" max="15628" width="60.85546875" style="84" customWidth="1"/>
    <col min="15629" max="15629" width="12.85546875" style="84" customWidth="1"/>
    <col min="15630" max="15630" width="51.85546875" style="84" customWidth="1"/>
    <col min="15631" max="15634" width="12.85546875" style="84" customWidth="1"/>
    <col min="15635" max="15635" width="73.140625" style="84" customWidth="1"/>
    <col min="15636" max="15638" width="12.85546875" style="84" customWidth="1"/>
    <col min="15639" max="15872" width="12.85546875" style="84"/>
    <col min="15873" max="15883" width="12.85546875" style="84" customWidth="1"/>
    <col min="15884" max="15884" width="60.85546875" style="84" customWidth="1"/>
    <col min="15885" max="15885" width="12.85546875" style="84" customWidth="1"/>
    <col min="15886" max="15886" width="51.85546875" style="84" customWidth="1"/>
    <col min="15887" max="15890" width="12.85546875" style="84" customWidth="1"/>
    <col min="15891" max="15891" width="73.140625" style="84" customWidth="1"/>
    <col min="15892" max="15894" width="12.85546875" style="84" customWidth="1"/>
    <col min="15895" max="16128" width="12.85546875" style="84"/>
    <col min="16129" max="16139" width="12.85546875" style="84" customWidth="1"/>
    <col min="16140" max="16140" width="60.85546875" style="84" customWidth="1"/>
    <col min="16141" max="16141" width="12.85546875" style="84" customWidth="1"/>
    <col min="16142" max="16142" width="51.85546875" style="84" customWidth="1"/>
    <col min="16143" max="16146" width="12.85546875" style="84" customWidth="1"/>
    <col min="16147" max="16147" width="73.140625" style="84" customWidth="1"/>
    <col min="16148" max="16150" width="12.85546875" style="84" customWidth="1"/>
    <col min="16151" max="16384" width="12.85546875" style="84"/>
  </cols>
  <sheetData>
    <row r="1" spans="1:25" ht="54.95" customHeight="1" x14ac:dyDescent="0.3">
      <c r="A1" s="83"/>
      <c r="B1" s="83"/>
    </row>
    <row r="2" spans="1:25" s="86" customFormat="1" ht="5.0999999999999996" customHeight="1" x14ac:dyDescent="0.3">
      <c r="H2" s="87"/>
      <c r="S2" s="88"/>
      <c r="V2" s="89"/>
      <c r="Y2" s="88"/>
    </row>
    <row r="3" spans="1:25" s="86" customFormat="1" ht="20.100000000000001" customHeight="1" x14ac:dyDescent="0.3">
      <c r="A3" s="90" t="s">
        <v>141</v>
      </c>
      <c r="B3" s="91"/>
      <c r="C3" s="88"/>
      <c r="H3" s="87"/>
      <c r="V3" s="89"/>
    </row>
    <row r="4" spans="1:25" ht="20.100000000000001" customHeight="1" thickBot="1" x14ac:dyDescent="0.35">
      <c r="A4" s="92" t="s">
        <v>142</v>
      </c>
      <c r="B4" s="93"/>
      <c r="C4" s="94"/>
      <c r="D4" s="95"/>
      <c r="E4" s="95"/>
      <c r="F4" s="95"/>
      <c r="G4" s="95"/>
      <c r="H4" s="96"/>
      <c r="I4" s="93"/>
      <c r="J4" s="93"/>
      <c r="K4" s="93"/>
      <c r="L4" s="93"/>
      <c r="M4" s="93"/>
      <c r="N4" s="93"/>
      <c r="O4" s="93"/>
      <c r="P4" s="93"/>
      <c r="Q4" s="93"/>
      <c r="R4" s="93"/>
      <c r="S4" s="93"/>
      <c r="T4" s="93"/>
      <c r="U4" s="93"/>
      <c r="V4" s="97"/>
      <c r="W4" s="93"/>
    </row>
    <row r="5" spans="1:25" ht="9.9499999999999993" customHeight="1" thickTop="1" thickBot="1" x14ac:dyDescent="0.35">
      <c r="A5" s="98"/>
      <c r="B5" s="99"/>
      <c r="C5" s="100"/>
      <c r="E5" s="101"/>
      <c r="F5" s="101"/>
      <c r="G5" s="101"/>
      <c r="H5" s="102"/>
      <c r="Q5" s="103"/>
      <c r="R5" s="103"/>
      <c r="S5" s="104"/>
      <c r="T5" s="101"/>
      <c r="U5" s="101"/>
      <c r="V5" s="105"/>
      <c r="W5" s="101"/>
    </row>
    <row r="6" spans="1:25" s="99" customFormat="1" ht="13.5" customHeight="1" thickTop="1" x14ac:dyDescent="0.3">
      <c r="A6" s="106" t="s">
        <v>143</v>
      </c>
      <c r="B6" s="106"/>
      <c r="E6" s="514" t="s">
        <v>144</v>
      </c>
      <c r="F6" s="515"/>
      <c r="G6" s="515"/>
      <c r="H6" s="515"/>
      <c r="I6" s="515"/>
      <c r="J6" s="515"/>
      <c r="K6" s="515"/>
      <c r="L6" s="515"/>
      <c r="M6" s="515"/>
      <c r="N6" s="515"/>
      <c r="O6" s="515"/>
      <c r="P6" s="515"/>
      <c r="Q6" s="515"/>
      <c r="R6" s="515"/>
      <c r="S6" s="515"/>
      <c r="T6" s="107"/>
      <c r="U6" s="107"/>
      <c r="V6" s="107"/>
      <c r="W6" s="108"/>
      <c r="X6" s="109"/>
    </row>
    <row r="7" spans="1:25" s="99" customFormat="1" ht="13.5" customHeight="1" x14ac:dyDescent="0.3">
      <c r="A7" s="516" t="str">
        <f>[1]Audit!A14</f>
        <v>Spring 2016 release v1.6</v>
      </c>
      <c r="B7" s="517"/>
      <c r="E7" s="110" t="s">
        <v>145</v>
      </c>
      <c r="F7" s="111"/>
      <c r="G7" s="111"/>
      <c r="H7" s="109"/>
      <c r="I7" s="111"/>
      <c r="J7" s="109"/>
      <c r="K7" s="109"/>
      <c r="L7" s="109"/>
      <c r="M7" s="111"/>
      <c r="N7" s="109"/>
      <c r="O7" s="109"/>
      <c r="P7" s="109"/>
      <c r="Q7" s="109"/>
      <c r="R7" s="109"/>
      <c r="S7" s="109"/>
      <c r="T7" s="109"/>
      <c r="U7" s="109"/>
      <c r="V7" s="112"/>
      <c r="W7" s="113"/>
      <c r="X7" s="109"/>
    </row>
    <row r="8" spans="1:25" s="99" customFormat="1" ht="13.5" customHeight="1" x14ac:dyDescent="0.3">
      <c r="A8" s="518">
        <f>[1]Audit!C14</f>
        <v>42552</v>
      </c>
      <c r="B8" s="519"/>
      <c r="C8" s="114"/>
      <c r="D8" s="114"/>
      <c r="E8" s="115" t="s">
        <v>146</v>
      </c>
      <c r="F8" s="116" t="s">
        <v>147</v>
      </c>
      <c r="G8" s="112"/>
      <c r="H8" s="112"/>
      <c r="I8" s="116" t="s">
        <v>148</v>
      </c>
      <c r="J8" s="112"/>
      <c r="K8" s="109"/>
      <c r="L8" s="117" t="s">
        <v>149</v>
      </c>
      <c r="M8" s="112"/>
      <c r="N8" s="109"/>
      <c r="O8" s="109"/>
      <c r="P8" s="109"/>
      <c r="Q8" s="118"/>
      <c r="R8" s="118"/>
      <c r="S8" s="118"/>
      <c r="T8" s="119"/>
      <c r="U8" s="118"/>
      <c r="V8" s="118"/>
      <c r="W8" s="120"/>
      <c r="X8" s="109"/>
    </row>
    <row r="9" spans="1:25" s="99" customFormat="1" ht="13.5" customHeight="1" thickBot="1" x14ac:dyDescent="0.3">
      <c r="A9" s="121" t="s">
        <v>150</v>
      </c>
      <c r="B9" s="122"/>
      <c r="D9" s="114"/>
      <c r="E9" s="115" t="s">
        <v>151</v>
      </c>
      <c r="F9" s="117" t="s">
        <v>152</v>
      </c>
      <c r="G9" s="112"/>
      <c r="H9" s="112"/>
      <c r="I9" s="123"/>
      <c r="J9" s="109"/>
      <c r="K9" s="117" t="s">
        <v>153</v>
      </c>
      <c r="L9" s="124"/>
      <c r="M9" s="109"/>
      <c r="N9" s="117" t="s">
        <v>154</v>
      </c>
      <c r="O9" s="125"/>
      <c r="P9" s="109"/>
      <c r="Q9" s="118"/>
      <c r="R9" s="126" t="s">
        <v>155</v>
      </c>
      <c r="S9" s="118"/>
      <c r="T9" s="119"/>
      <c r="U9" s="118"/>
      <c r="V9" s="118"/>
      <c r="W9" s="120"/>
      <c r="X9" s="109"/>
    </row>
    <row r="10" spans="1:25" s="99" customFormat="1" ht="13.5" customHeight="1" thickBot="1" x14ac:dyDescent="0.3">
      <c r="A10" s="520" t="s">
        <v>156</v>
      </c>
      <c r="B10" s="521"/>
      <c r="D10" s="114"/>
      <c r="E10" s="115" t="s">
        <v>157</v>
      </c>
      <c r="F10" s="127" t="s">
        <v>158</v>
      </c>
      <c r="G10" s="112"/>
      <c r="H10" s="112"/>
      <c r="I10" s="112"/>
      <c r="J10" s="109"/>
      <c r="K10" s="109"/>
      <c r="L10" s="117" t="s">
        <v>159</v>
      </c>
      <c r="M10" s="109"/>
      <c r="N10" s="109"/>
      <c r="O10" s="128"/>
      <c r="P10" s="109"/>
      <c r="Q10" s="123" t="s">
        <v>160</v>
      </c>
      <c r="R10" s="129"/>
      <c r="S10" s="118"/>
      <c r="T10" s="123"/>
      <c r="U10" s="118"/>
      <c r="V10" s="118"/>
      <c r="W10" s="120"/>
      <c r="X10" s="109"/>
    </row>
    <row r="11" spans="1:25" s="99" customFormat="1" ht="13.5" customHeight="1" thickBot="1" x14ac:dyDescent="0.3">
      <c r="A11" s="520" t="s">
        <v>161</v>
      </c>
      <c r="B11" s="522"/>
      <c r="D11" s="114"/>
      <c r="E11" s="115" t="s">
        <v>162</v>
      </c>
      <c r="F11" s="117" t="s">
        <v>163</v>
      </c>
      <c r="G11" s="112"/>
      <c r="H11" s="112"/>
      <c r="I11" s="130"/>
      <c r="J11" s="125"/>
      <c r="K11" s="109"/>
      <c r="L11" s="126" t="s">
        <v>164</v>
      </c>
      <c r="M11" s="109"/>
      <c r="N11" s="109"/>
      <c r="O11" s="109"/>
      <c r="P11" s="109" t="s">
        <v>165</v>
      </c>
      <c r="Q11" s="118"/>
      <c r="R11" s="118"/>
      <c r="S11" s="118"/>
      <c r="T11" s="119"/>
      <c r="U11" s="118"/>
      <c r="V11" s="118"/>
      <c r="W11" s="120"/>
      <c r="X11" s="109"/>
    </row>
    <row r="12" spans="1:25" s="99" customFormat="1" ht="13.5" customHeight="1" thickBot="1" x14ac:dyDescent="0.35">
      <c r="A12" s="523" t="s">
        <v>166</v>
      </c>
      <c r="B12" s="524"/>
      <c r="D12" s="114"/>
      <c r="E12" s="115"/>
      <c r="F12" s="109"/>
      <c r="G12" s="109"/>
      <c r="H12" s="112"/>
      <c r="I12" s="131"/>
      <c r="J12" s="132"/>
      <c r="K12" s="109"/>
      <c r="L12" s="109"/>
      <c r="M12" s="109"/>
      <c r="N12" s="109"/>
      <c r="O12" s="133"/>
      <c r="P12" s="133"/>
      <c r="Q12" s="133"/>
      <c r="R12" s="133"/>
      <c r="S12" s="133"/>
      <c r="T12" s="109"/>
      <c r="U12" s="109"/>
      <c r="V12" s="112"/>
      <c r="W12" s="113"/>
      <c r="X12" s="109"/>
    </row>
    <row r="13" spans="1:25" s="99" customFormat="1" ht="13.5" customHeight="1" x14ac:dyDescent="0.3">
      <c r="A13" s="511" t="s">
        <v>167</v>
      </c>
      <c r="B13" s="512"/>
      <c r="D13" s="114"/>
      <c r="E13" s="115"/>
      <c r="F13" s="109"/>
      <c r="G13" s="134"/>
      <c r="H13" s="109"/>
      <c r="I13" s="109"/>
      <c r="J13" s="109"/>
      <c r="K13" s="109"/>
      <c r="L13" s="109"/>
      <c r="M13" s="109"/>
      <c r="N13" s="109"/>
      <c r="O13" s="109"/>
      <c r="P13" s="109"/>
      <c r="Q13" s="109"/>
      <c r="R13" s="109"/>
      <c r="S13" s="109"/>
      <c r="T13" s="109"/>
      <c r="U13" s="109"/>
      <c r="V13" s="112"/>
      <c r="W13" s="113"/>
      <c r="X13" s="109"/>
    </row>
    <row r="14" spans="1:25" s="99" customFormat="1" ht="13.5" customHeight="1" x14ac:dyDescent="0.3">
      <c r="A14" s="135" t="s">
        <v>168</v>
      </c>
      <c r="B14" s="136">
        <f>'[1]User Parameters'!L13</f>
        <v>2010</v>
      </c>
      <c r="C14" s="114"/>
      <c r="D14" s="114"/>
      <c r="E14" s="137" t="s">
        <v>169</v>
      </c>
      <c r="F14" s="84"/>
      <c r="G14" s="84"/>
      <c r="H14" s="84"/>
      <c r="I14" s="84"/>
      <c r="J14" s="84"/>
      <c r="K14" s="84"/>
      <c r="L14" s="84"/>
      <c r="M14" s="84"/>
      <c r="N14" s="84"/>
      <c r="O14" s="84"/>
      <c r="P14" s="84"/>
      <c r="Q14" s="84"/>
      <c r="R14" s="84"/>
      <c r="S14" s="84"/>
      <c r="T14" s="84"/>
      <c r="U14" s="84"/>
      <c r="W14" s="138"/>
      <c r="X14" s="109"/>
    </row>
    <row r="15" spans="1:25" s="99" customFormat="1" ht="13.5" customHeight="1" x14ac:dyDescent="0.3">
      <c r="A15" s="139"/>
      <c r="B15" s="100"/>
      <c r="C15" s="114"/>
      <c r="D15" s="114"/>
      <c r="E15" s="140" t="s">
        <v>170</v>
      </c>
      <c r="F15" s="84"/>
      <c r="G15" s="84"/>
      <c r="H15" s="84"/>
      <c r="I15" s="84"/>
      <c r="J15" s="84"/>
      <c r="K15" s="84"/>
      <c r="L15" s="84"/>
      <c r="M15" s="84"/>
      <c r="N15" s="84"/>
      <c r="O15" s="84"/>
      <c r="P15" s="84"/>
      <c r="Q15" s="84"/>
      <c r="R15" s="84"/>
      <c r="S15" s="84"/>
      <c r="T15" s="84"/>
      <c r="U15" s="84"/>
      <c r="W15" s="138"/>
      <c r="X15" s="109"/>
    </row>
    <row r="16" spans="1:25" s="99" customFormat="1" ht="13.5" customHeight="1" x14ac:dyDescent="0.3">
      <c r="C16" s="114"/>
      <c r="D16" s="114"/>
      <c r="E16" s="140"/>
      <c r="F16" s="84"/>
      <c r="G16" s="139"/>
      <c r="H16" s="84"/>
      <c r="I16" s="84"/>
      <c r="J16" s="84"/>
      <c r="K16" s="84"/>
      <c r="L16" s="84"/>
      <c r="M16" s="84"/>
      <c r="N16" s="84"/>
      <c r="O16" s="84"/>
      <c r="P16" s="84"/>
      <c r="Q16" s="84"/>
      <c r="R16" s="84"/>
      <c r="S16" s="84"/>
      <c r="T16" s="84"/>
      <c r="U16" s="84"/>
      <c r="W16" s="138"/>
      <c r="X16" s="109"/>
    </row>
    <row r="17" spans="1:24" s="99" customFormat="1" ht="13.5" customHeight="1" x14ac:dyDescent="0.3">
      <c r="A17" s="106" t="s">
        <v>171</v>
      </c>
      <c r="B17" s="141"/>
      <c r="C17" s="114"/>
      <c r="D17" s="142"/>
      <c r="F17" s="84"/>
      <c r="G17" s="84"/>
      <c r="H17" s="84"/>
      <c r="I17" s="84"/>
      <c r="J17" s="84"/>
      <c r="K17" s="84"/>
      <c r="L17" s="84"/>
      <c r="M17" s="84"/>
      <c r="N17" s="84"/>
      <c r="O17" s="84"/>
      <c r="P17" s="84"/>
      <c r="Q17" s="84"/>
      <c r="R17" s="84"/>
      <c r="S17" s="84"/>
      <c r="T17" s="84"/>
      <c r="U17" s="84"/>
      <c r="W17" s="138"/>
      <c r="X17" s="109"/>
    </row>
    <row r="18" spans="1:24" s="99" customFormat="1" ht="13.5" customHeight="1" x14ac:dyDescent="0.3">
      <c r="A18" s="513"/>
      <c r="B18" s="513"/>
      <c r="C18" s="114"/>
      <c r="D18" s="142"/>
      <c r="E18" s="140"/>
      <c r="F18" s="84"/>
      <c r="G18" s="84"/>
      <c r="H18" s="84"/>
      <c r="I18" s="84"/>
      <c r="J18" s="84"/>
      <c r="K18" s="84"/>
      <c r="L18" s="84"/>
      <c r="M18" s="84"/>
      <c r="N18" s="84"/>
      <c r="O18" s="84"/>
      <c r="P18" s="84"/>
      <c r="Q18" s="84"/>
      <c r="R18" s="84"/>
      <c r="S18" s="84"/>
      <c r="T18" s="84"/>
      <c r="U18" s="84"/>
      <c r="W18" s="138"/>
      <c r="X18" s="109"/>
    </row>
    <row r="19" spans="1:24" s="99" customFormat="1" ht="13.5" customHeight="1" x14ac:dyDescent="0.3">
      <c r="A19" s="513"/>
      <c r="B19" s="513"/>
      <c r="C19" s="114"/>
      <c r="D19" s="142"/>
      <c r="E19" s="140" t="s">
        <v>172</v>
      </c>
      <c r="F19" s="84"/>
      <c r="G19" s="84"/>
      <c r="H19" s="84"/>
      <c r="I19" s="84"/>
      <c r="J19" s="84"/>
      <c r="K19" s="84"/>
      <c r="L19" s="84"/>
      <c r="M19" s="84"/>
      <c r="N19" s="84"/>
      <c r="O19" s="84"/>
      <c r="P19" s="84"/>
      <c r="Q19" s="84"/>
      <c r="R19" s="84"/>
      <c r="S19" s="84"/>
      <c r="T19" s="84"/>
      <c r="U19" s="84"/>
      <c r="V19" s="84"/>
      <c r="W19" s="138"/>
      <c r="X19" s="109"/>
    </row>
    <row r="20" spans="1:24" ht="13.5" customHeight="1" thickBot="1" x14ac:dyDescent="0.35">
      <c r="A20" s="98"/>
      <c r="B20" s="99"/>
      <c r="C20" s="100"/>
      <c r="D20" s="99"/>
      <c r="E20" s="143" t="s">
        <v>173</v>
      </c>
      <c r="F20" s="144"/>
      <c r="G20" s="144"/>
      <c r="H20" s="144"/>
      <c r="I20" s="144"/>
      <c r="J20" s="144"/>
      <c r="K20" s="144"/>
      <c r="L20" s="144"/>
      <c r="M20" s="144"/>
      <c r="N20" s="144"/>
      <c r="O20" s="144"/>
      <c r="P20" s="144"/>
      <c r="Q20" s="144"/>
      <c r="R20" s="144"/>
      <c r="S20" s="144"/>
      <c r="T20" s="103"/>
      <c r="U20" s="103"/>
      <c r="V20" s="145"/>
      <c r="W20" s="146"/>
      <c r="X20" s="109"/>
    </row>
    <row r="21" spans="1:24" ht="13.5" customHeight="1" thickTop="1" x14ac:dyDescent="0.3">
      <c r="A21" s="98"/>
      <c r="B21" s="99"/>
      <c r="C21" s="100"/>
      <c r="D21" s="99"/>
      <c r="E21" s="86"/>
      <c r="F21" s="83"/>
      <c r="G21" s="83"/>
      <c r="H21" s="83"/>
      <c r="I21" s="83"/>
      <c r="J21" s="83"/>
      <c r="K21" s="83"/>
      <c r="L21" s="83"/>
      <c r="M21" s="83"/>
      <c r="N21" s="83"/>
      <c r="O21" s="83"/>
      <c r="P21" s="83"/>
      <c r="Q21" s="83"/>
      <c r="R21" s="83"/>
      <c r="S21" s="83"/>
    </row>
    <row r="22" spans="1:24" ht="13.5" customHeight="1" thickBot="1" x14ac:dyDescent="0.35">
      <c r="A22" s="99"/>
      <c r="B22" s="147"/>
      <c r="C22" s="148"/>
      <c r="D22" s="149"/>
      <c r="E22" s="86"/>
      <c r="F22" s="148"/>
      <c r="P22" s="147"/>
    </row>
    <row r="23" spans="1:24" ht="13.5" customHeight="1" thickTop="1" thickBot="1" x14ac:dyDescent="0.35">
      <c r="A23" s="150" t="s">
        <v>142</v>
      </c>
      <c r="B23" s="151"/>
      <c r="C23" s="151"/>
      <c r="D23" s="151"/>
      <c r="E23" s="151"/>
      <c r="F23" s="151"/>
      <c r="G23" s="151"/>
      <c r="H23" s="151"/>
      <c r="I23" s="151"/>
      <c r="J23" s="151"/>
      <c r="K23" s="151"/>
      <c r="L23" s="151"/>
      <c r="M23" s="151"/>
      <c r="N23" s="151"/>
      <c r="O23" s="151"/>
      <c r="P23" s="151"/>
      <c r="Q23" s="151"/>
      <c r="R23" s="151"/>
      <c r="S23" s="151"/>
      <c r="T23" s="151"/>
      <c r="U23" s="151"/>
      <c r="V23" s="151"/>
      <c r="W23" s="152"/>
      <c r="X23" s="109"/>
    </row>
    <row r="24" spans="1:24" ht="13.5" customHeight="1" thickTop="1" x14ac:dyDescent="0.3">
      <c r="A24" s="153"/>
      <c r="B24" s="154"/>
      <c r="C24" s="155"/>
      <c r="D24" s="156" t="s">
        <v>174</v>
      </c>
      <c r="E24" s="157" t="s">
        <v>175</v>
      </c>
      <c r="F24" s="157"/>
      <c r="G24" s="158"/>
      <c r="H24" s="157" t="s">
        <v>176</v>
      </c>
      <c r="I24" s="157"/>
      <c r="J24" s="158"/>
      <c r="K24" s="159" t="s">
        <v>177</v>
      </c>
      <c r="L24" s="160"/>
      <c r="M24" s="161"/>
      <c r="N24" s="157" t="s">
        <v>178</v>
      </c>
      <c r="O24" s="162"/>
      <c r="P24" s="163"/>
      <c r="Q24" s="159" t="s">
        <v>179</v>
      </c>
      <c r="R24" s="160"/>
      <c r="S24" s="161"/>
      <c r="T24" s="157" t="s">
        <v>180</v>
      </c>
      <c r="U24" s="164"/>
      <c r="V24" s="164"/>
      <c r="W24" s="165"/>
      <c r="X24" s="109"/>
    </row>
    <row r="25" spans="1:24" ht="13.5" customHeight="1" x14ac:dyDescent="0.3">
      <c r="A25" s="166"/>
      <c r="B25" s="122"/>
      <c r="C25" s="155"/>
      <c r="D25" s="167"/>
      <c r="E25" s="168"/>
      <c r="F25" s="169"/>
      <c r="G25" s="158"/>
      <c r="H25" s="168"/>
      <c r="I25" s="169"/>
      <c r="J25" s="158"/>
      <c r="K25" s="168"/>
      <c r="L25" s="169"/>
      <c r="M25" s="158"/>
      <c r="N25" s="168"/>
      <c r="O25" s="169"/>
      <c r="P25" s="158"/>
      <c r="Q25" s="168"/>
      <c r="R25" s="169"/>
      <c r="S25" s="158"/>
      <c r="T25" s="170" t="s">
        <v>87</v>
      </c>
      <c r="U25" s="170" t="s">
        <v>181</v>
      </c>
      <c r="V25" s="170"/>
      <c r="W25" s="171"/>
      <c r="X25" s="172"/>
    </row>
    <row r="26" spans="1:24" ht="13.5" customHeight="1" x14ac:dyDescent="0.3">
      <c r="A26" s="153"/>
      <c r="B26" s="154"/>
      <c r="C26" s="155"/>
      <c r="D26" s="173"/>
      <c r="E26" s="154" t="s">
        <v>182</v>
      </c>
      <c r="F26" s="170" t="s">
        <v>183</v>
      </c>
      <c r="G26" s="158" t="s">
        <v>184</v>
      </c>
      <c r="H26" s="154" t="s">
        <v>182</v>
      </c>
      <c r="I26" s="170" t="s">
        <v>183</v>
      </c>
      <c r="J26" s="158" t="s">
        <v>184</v>
      </c>
      <c r="K26" s="154" t="s">
        <v>182</v>
      </c>
      <c r="L26" s="170" t="s">
        <v>183</v>
      </c>
      <c r="M26" s="158" t="s">
        <v>184</v>
      </c>
      <c r="N26" s="154" t="s">
        <v>182</v>
      </c>
      <c r="O26" s="170" t="s">
        <v>183</v>
      </c>
      <c r="P26" s="158" t="s">
        <v>184</v>
      </c>
      <c r="Q26" s="154" t="s">
        <v>182</v>
      </c>
      <c r="R26" s="170" t="s">
        <v>183</v>
      </c>
      <c r="S26" s="158" t="s">
        <v>184</v>
      </c>
      <c r="T26" s="170" t="s">
        <v>185</v>
      </c>
      <c r="U26" s="170" t="s">
        <v>185</v>
      </c>
      <c r="V26" s="170" t="s">
        <v>87</v>
      </c>
      <c r="W26" s="171" t="s">
        <v>186</v>
      </c>
      <c r="X26" s="174"/>
    </row>
    <row r="27" spans="1:24" ht="13.5" customHeight="1" x14ac:dyDescent="0.3">
      <c r="A27" s="166"/>
      <c r="B27" s="122"/>
      <c r="C27" s="155"/>
      <c r="D27" s="175" t="str">
        <f>"("&amp;B14&amp;" = 100)"</f>
        <v>(2010 = 100)</v>
      </c>
      <c r="E27" s="176" t="s">
        <v>187</v>
      </c>
      <c r="F27" s="154" t="s">
        <v>188</v>
      </c>
      <c r="G27" s="177" t="s">
        <v>189</v>
      </c>
      <c r="H27" s="176" t="s">
        <v>187</v>
      </c>
      <c r="I27" s="154" t="s">
        <v>188</v>
      </c>
      <c r="J27" s="177" t="s">
        <v>189</v>
      </c>
      <c r="K27" s="178" t="s">
        <v>187</v>
      </c>
      <c r="L27" s="154" t="s">
        <v>188</v>
      </c>
      <c r="M27" s="177" t="s">
        <v>190</v>
      </c>
      <c r="N27" s="176" t="s">
        <v>187</v>
      </c>
      <c r="O27" s="154" t="s">
        <v>188</v>
      </c>
      <c r="P27" s="177" t="s">
        <v>189</v>
      </c>
      <c r="Q27" s="176" t="s">
        <v>187</v>
      </c>
      <c r="R27" s="154" t="s">
        <v>188</v>
      </c>
      <c r="S27" s="177" t="s">
        <v>190</v>
      </c>
      <c r="T27" s="154" t="s">
        <v>188</v>
      </c>
      <c r="U27" s="154" t="s">
        <v>188</v>
      </c>
      <c r="V27" s="154" t="s">
        <v>184</v>
      </c>
      <c r="W27" s="177" t="s">
        <v>184</v>
      </c>
      <c r="X27" s="179"/>
    </row>
    <row r="28" spans="1:24" ht="13.5" customHeight="1" x14ac:dyDescent="0.3">
      <c r="A28" s="166"/>
      <c r="B28" s="154" t="s">
        <v>7</v>
      </c>
      <c r="C28" s="155"/>
      <c r="D28" s="171"/>
      <c r="E28" s="176"/>
      <c r="F28" s="154" t="s">
        <v>191</v>
      </c>
      <c r="G28" s="177"/>
      <c r="H28" s="176"/>
      <c r="I28" s="154" t="s">
        <v>191</v>
      </c>
      <c r="J28" s="177"/>
      <c r="K28" s="176"/>
      <c r="L28" s="154" t="s">
        <v>191</v>
      </c>
      <c r="M28" s="177"/>
      <c r="N28" s="176"/>
      <c r="O28" s="154" t="s">
        <v>191</v>
      </c>
      <c r="P28" s="177"/>
      <c r="Q28" s="176"/>
      <c r="R28" s="154" t="s">
        <v>191</v>
      </c>
      <c r="S28" s="177"/>
      <c r="T28" s="154" t="s">
        <v>192</v>
      </c>
      <c r="U28" s="154" t="s">
        <v>192</v>
      </c>
      <c r="V28" s="154" t="s">
        <v>193</v>
      </c>
      <c r="W28" s="177" t="s">
        <v>193</v>
      </c>
      <c r="X28" s="172"/>
    </row>
    <row r="29" spans="1:24" ht="13.5" customHeight="1" x14ac:dyDescent="0.3">
      <c r="A29" s="180"/>
      <c r="B29" s="85">
        <v>1990</v>
      </c>
      <c r="C29" s="138"/>
      <c r="D29" s="181">
        <f>IF('[1]Annual Parameters Source'!D29="","-",'[1]Annual Parameters Source'!D29/VLOOKUP($B$14,'[1]Annual Parameters Source'!$B$29:$D$139,3,1)*100)</f>
        <v>62.499811615264548</v>
      </c>
      <c r="E29" s="182">
        <f>IF('[1]Annual Parameters Source'!E29="","-",'[1]Annual Parameters Source'!E29)</f>
        <v>1119587</v>
      </c>
      <c r="F29" s="183" t="str">
        <f>IF('[1]Annual Parameters Source'!F29="","-",'[1]Annual Parameters Source'!F29)</f>
        <v>-</v>
      </c>
      <c r="G29" s="184">
        <f>IF('[1]Annual Parameters Source'!G29="","-",'[1]Annual Parameters Source'!G29)</f>
        <v>100</v>
      </c>
      <c r="H29" s="182">
        <f>IF('[1]Annual Parameters Source'!H29="","-",'[1]Annual Parameters Source'!H29)</f>
        <v>57237.5</v>
      </c>
      <c r="I29" s="183" t="str">
        <f>IF('[1]Annual Parameters Source'!I29="","-",'[1]Annual Parameters Source'!I29)</f>
        <v>-</v>
      </c>
      <c r="J29" s="184">
        <f>IF('[1]Annual Parameters Source'!J29="","-",'[1]Annual Parameters Source'!J29)</f>
        <v>100</v>
      </c>
      <c r="K29" s="182" t="str">
        <f>IF('[1]Annual Parameters Source'!K29="","-",'[1]Annual Parameters Source'!K29)</f>
        <v>-</v>
      </c>
      <c r="L29" s="183" t="str">
        <f>IF('[1]Annual Parameters Source'!L29="","-",'[1]Annual Parameters Source'!L29)</f>
        <v>-</v>
      </c>
      <c r="M29" s="184" t="str">
        <f>IF('[1]Annual Parameters Source'!M29="","-",'[1]Annual Parameters Source'!M29)</f>
        <v>-</v>
      </c>
      <c r="N29" s="182">
        <f>IF('[1]Annual Parameters Source'!N29="","-",'[1]Annual Parameters Source'!N29)</f>
        <v>19560.375627866346</v>
      </c>
      <c r="O29" s="183" t="str">
        <f>IF('[1]Annual Parameters Source'!O29="","-",'[1]Annual Parameters Source'!O29)</f>
        <v>-</v>
      </c>
      <c r="P29" s="184">
        <f>IF('[1]Annual Parameters Source'!P29="","-",'[1]Annual Parameters Source'!P29)</f>
        <v>100</v>
      </c>
      <c r="Q29" s="182" t="str">
        <f>IF('[1]Annual Parameters Source'!Q29="","-",'[1]Annual Parameters Source'!Q29)</f>
        <v>-</v>
      </c>
      <c r="R29" s="183" t="str">
        <f>IF('[1]Annual Parameters Source'!R29="","-",'[1]Annual Parameters Source'!R29)</f>
        <v>-</v>
      </c>
      <c r="S29" s="184" t="str">
        <f>IF('[1]Annual Parameters Source'!S29="","-",'[1]Annual Parameters Source'!S29)</f>
        <v>-</v>
      </c>
      <c r="T29" s="183" t="str">
        <f>IF('[1]Annual Parameters Source'!T29="","-",'[1]Annual Parameters Source'!T29)</f>
        <v>-</v>
      </c>
      <c r="U29" s="183" t="str">
        <f>IF('[1]Annual Parameters Source'!U29="","-",'[1]Annual Parameters Source'!U29)</f>
        <v>-</v>
      </c>
      <c r="V29" s="185" t="str">
        <f>IF('[1]Annual Parameters Source'!V29="","-",'[1]Annual Parameters Source'!V29)</f>
        <v>-</v>
      </c>
      <c r="W29" s="186" t="str">
        <f>IF('[1]Annual Parameters Source'!W29="","-",'[1]Annual Parameters Source'!W29)</f>
        <v>-</v>
      </c>
    </row>
    <row r="30" spans="1:24" ht="13.5" customHeight="1" x14ac:dyDescent="0.3">
      <c r="A30" s="180"/>
      <c r="B30" s="85">
        <v>1991</v>
      </c>
      <c r="C30" s="138"/>
      <c r="D30" s="181">
        <f>IF('[1]Annual Parameters Source'!D30="","-",'[1]Annual Parameters Source'!D30/VLOOKUP($B$14,'[1]Annual Parameters Source'!$B$29:$D$139,3,1)*100)</f>
        <v>66.557080574842558</v>
      </c>
      <c r="E30" s="182">
        <f>IF('[1]Annual Parameters Source'!E30="","-",'[1]Annual Parameters Source'!E30)</f>
        <v>1107059</v>
      </c>
      <c r="F30" s="183">
        <f>IF('[1]Annual Parameters Source'!F30="","-",'[1]Annual Parameters Source'!F30)</f>
        <v>-1.1189840539413194</v>
      </c>
      <c r="G30" s="184">
        <f>IF('[1]Annual Parameters Source'!G30="","-",'[1]Annual Parameters Source'!G30)</f>
        <v>98.881015946058682</v>
      </c>
      <c r="H30" s="182">
        <f>IF('[1]Annual Parameters Source'!H30="","-",'[1]Annual Parameters Source'!H30)</f>
        <v>57438.7</v>
      </c>
      <c r="I30" s="183">
        <f>IF('[1]Annual Parameters Source'!I30="","-",'[1]Annual Parameters Source'!I30)</f>
        <v>0.35151779864598748</v>
      </c>
      <c r="J30" s="184">
        <f>IF('[1]Annual Parameters Source'!J30="","-",'[1]Annual Parameters Source'!J30)</f>
        <v>100.35151779864599</v>
      </c>
      <c r="K30" s="182" t="str">
        <f>IF('[1]Annual Parameters Source'!K30="","-",'[1]Annual Parameters Source'!K30)</f>
        <v>-</v>
      </c>
      <c r="L30" s="183" t="str">
        <f>IF('[1]Annual Parameters Source'!L30="","-",'[1]Annual Parameters Source'!L30)</f>
        <v>-</v>
      </c>
      <c r="M30" s="184" t="str">
        <f>IF('[1]Annual Parameters Source'!M30="","-",'[1]Annual Parameters Source'!M30)</f>
        <v>-</v>
      </c>
      <c r="N30" s="182">
        <f>IF('[1]Annual Parameters Source'!N30="","-",'[1]Annual Parameters Source'!N30)</f>
        <v>19273.747490803238</v>
      </c>
      <c r="O30" s="183">
        <f>IF('[1]Annual Parameters Source'!O30="","-",'[1]Annual Parameters Source'!O30)</f>
        <v>-1.4653508834194806</v>
      </c>
      <c r="P30" s="184">
        <f>IF('[1]Annual Parameters Source'!P30="","-",'[1]Annual Parameters Source'!P30)</f>
        <v>98.534649116580525</v>
      </c>
      <c r="Q30" s="182" t="str">
        <f>IF('[1]Annual Parameters Source'!Q30="","-",'[1]Annual Parameters Source'!Q30)</f>
        <v>-</v>
      </c>
      <c r="R30" s="183" t="str">
        <f>IF('[1]Annual Parameters Source'!R30="","-",'[1]Annual Parameters Source'!R30)</f>
        <v>-</v>
      </c>
      <c r="S30" s="184" t="str">
        <f>IF('[1]Annual Parameters Source'!S30="","-",'[1]Annual Parameters Source'!S30)</f>
        <v>-</v>
      </c>
      <c r="T30" s="183" t="str">
        <f>IF('[1]Annual Parameters Source'!T30="","-",'[1]Annual Parameters Source'!T30)</f>
        <v>-</v>
      </c>
      <c r="U30" s="183" t="str">
        <f>IF('[1]Annual Parameters Source'!U30="","-",'[1]Annual Parameters Source'!U30)</f>
        <v>-</v>
      </c>
      <c r="V30" s="185" t="str">
        <f>IF('[1]Annual Parameters Source'!V30="","-",'[1]Annual Parameters Source'!V30)</f>
        <v>-</v>
      </c>
      <c r="W30" s="186" t="str">
        <f>IF('[1]Annual Parameters Source'!W30="","-",'[1]Annual Parameters Source'!W30)</f>
        <v>-</v>
      </c>
    </row>
    <row r="31" spans="1:24" ht="13.5" customHeight="1" x14ac:dyDescent="0.25">
      <c r="A31" s="180"/>
      <c r="B31" s="85">
        <v>1992</v>
      </c>
      <c r="C31" s="138"/>
      <c r="D31" s="181">
        <f>IF('[1]Annual Parameters Source'!D31="","-",'[1]Annual Parameters Source'!D31/VLOOKUP($B$14,'[1]Annual Parameters Source'!$B$29:$D$139,3,1)*100)</f>
        <v>68.540395069702356</v>
      </c>
      <c r="E31" s="182">
        <f>IF('[1]Annual Parameters Source'!E31="","-",'[1]Annual Parameters Source'!E31)</f>
        <v>1111043</v>
      </c>
      <c r="F31" s="183">
        <f>IF('[1]Annual Parameters Source'!F31="","-",'[1]Annual Parameters Source'!F31)</f>
        <v>0.35987241872384396</v>
      </c>
      <c r="G31" s="184">
        <f>IF('[1]Annual Parameters Source'!G31="","-",'[1]Annual Parameters Source'!G31)</f>
        <v>99.236861449802475</v>
      </c>
      <c r="H31" s="182">
        <f>IF('[1]Annual Parameters Source'!H31="","-",'[1]Annual Parameters Source'!H31)</f>
        <v>57584.5</v>
      </c>
      <c r="I31" s="183">
        <f>IF('[1]Annual Parameters Source'!I31="","-",'[1]Annual Parameters Source'!I31)</f>
        <v>0.25383582845712549</v>
      </c>
      <c r="J31" s="184">
        <f>IF('[1]Annual Parameters Source'!J31="","-",'[1]Annual Parameters Source'!J31)</f>
        <v>100.60624590521948</v>
      </c>
      <c r="K31" s="182" t="str">
        <f>IF('[1]Annual Parameters Source'!K31="","-",'[1]Annual Parameters Source'!K31)</f>
        <v>-</v>
      </c>
      <c r="L31" s="183" t="str">
        <f>IF('[1]Annual Parameters Source'!L31="","-",'[1]Annual Parameters Source'!L31)</f>
        <v>-</v>
      </c>
      <c r="M31" s="184" t="str">
        <f>IF('[1]Annual Parameters Source'!M31="","-",'[1]Annual Parameters Source'!M31)</f>
        <v>-</v>
      </c>
      <c r="N31" s="182">
        <f>IF('[1]Annual Parameters Source'!N31="","-",'[1]Annual Parameters Source'!N31)</f>
        <v>19294.132969809583</v>
      </c>
      <c r="O31" s="183">
        <f>IF('[1]Annual Parameters Source'!O31="","-",'[1]Annual Parameters Source'!O31)</f>
        <v>0.10576811290110566</v>
      </c>
      <c r="P31" s="184">
        <f>IF('[1]Annual Parameters Source'!P31="","-",'[1]Annual Parameters Source'!P31)</f>
        <v>98.638867355504857</v>
      </c>
      <c r="Q31" s="182" t="str">
        <f>IF('[1]Annual Parameters Source'!Q31="","-",'[1]Annual Parameters Source'!Q31)</f>
        <v>-</v>
      </c>
      <c r="R31" s="183" t="str">
        <f>IF('[1]Annual Parameters Source'!R31="","-",'[1]Annual Parameters Source'!R31)</f>
        <v>-</v>
      </c>
      <c r="S31" s="184" t="str">
        <f>IF('[1]Annual Parameters Source'!S31="","-",'[1]Annual Parameters Source'!S31)</f>
        <v>-</v>
      </c>
      <c r="T31" s="183" t="str">
        <f>IF('[1]Annual Parameters Source'!T31="","-",'[1]Annual Parameters Source'!T31)</f>
        <v>-</v>
      </c>
      <c r="U31" s="183" t="str">
        <f>IF('[1]Annual Parameters Source'!U31="","-",'[1]Annual Parameters Source'!U31)</f>
        <v>-</v>
      </c>
      <c r="V31" s="185" t="str">
        <f>IF('[1]Annual Parameters Source'!V31="","-",'[1]Annual Parameters Source'!V31)</f>
        <v>-</v>
      </c>
      <c r="W31" s="186" t="str">
        <f>IF('[1]Annual Parameters Source'!W31="","-",'[1]Annual Parameters Source'!W31)</f>
        <v>-</v>
      </c>
    </row>
    <row r="32" spans="1:24" ht="13.5" customHeight="1" x14ac:dyDescent="0.25">
      <c r="A32" s="180"/>
      <c r="B32" s="85">
        <v>1993</v>
      </c>
      <c r="C32" s="138"/>
      <c r="D32" s="181">
        <f>IF('[1]Annual Parameters Source'!D32="","-",'[1]Annual Parameters Source'!D32/VLOOKUP($B$14,'[1]Annual Parameters Source'!$B$29:$D$139,3,1)*100)</f>
        <v>70.291296625222031</v>
      </c>
      <c r="E32" s="182">
        <f>IF('[1]Annual Parameters Source'!E32="","-",'[1]Annual Parameters Source'!E32)</f>
        <v>1138897</v>
      </c>
      <c r="F32" s="183">
        <f>IF('[1]Annual Parameters Source'!F32="","-",'[1]Annual Parameters Source'!F32)</f>
        <v>2.5070136799385803</v>
      </c>
      <c r="G32" s="184">
        <f>IF('[1]Annual Parameters Source'!G32="","-",'[1]Annual Parameters Source'!G32)</f>
        <v>101.72474314189073</v>
      </c>
      <c r="H32" s="182">
        <f>IF('[1]Annual Parameters Source'!H32="","-",'[1]Annual Parameters Source'!H32)</f>
        <v>57713.9</v>
      </c>
      <c r="I32" s="183">
        <f>IF('[1]Annual Parameters Source'!I32="","-",'[1]Annual Parameters Source'!I32)</f>
        <v>0.22471324748847599</v>
      </c>
      <c r="J32" s="184">
        <f>IF('[1]Annual Parameters Source'!J32="","-",'[1]Annual Parameters Source'!J32)</f>
        <v>100.83232146756934</v>
      </c>
      <c r="K32" s="182" t="str">
        <f>IF('[1]Annual Parameters Source'!K32="","-",'[1]Annual Parameters Source'!K32)</f>
        <v>-</v>
      </c>
      <c r="L32" s="183" t="str">
        <f>IF('[1]Annual Parameters Source'!L32="","-",'[1]Annual Parameters Source'!L32)</f>
        <v>-</v>
      </c>
      <c r="M32" s="184" t="str">
        <f>IF('[1]Annual Parameters Source'!M32="","-",'[1]Annual Parameters Source'!M32)</f>
        <v>-</v>
      </c>
      <c r="N32" s="182">
        <f>IF('[1]Annual Parameters Source'!N32="","-",'[1]Annual Parameters Source'!N32)</f>
        <v>19733.495743659674</v>
      </c>
      <c r="O32" s="183">
        <f>IF('[1]Annual Parameters Source'!O32="","-",'[1]Annual Parameters Source'!O32)</f>
        <v>2.2771832999056274</v>
      </c>
      <c r="P32" s="184">
        <f>IF('[1]Annual Parameters Source'!P32="","-",'[1]Annual Parameters Source'!P32)</f>
        <v>100.88505517014048</v>
      </c>
      <c r="Q32" s="182" t="str">
        <f>IF('[1]Annual Parameters Source'!Q32="","-",'[1]Annual Parameters Source'!Q32)</f>
        <v>-</v>
      </c>
      <c r="R32" s="183" t="str">
        <f>IF('[1]Annual Parameters Source'!R32="","-",'[1]Annual Parameters Source'!R32)</f>
        <v>-</v>
      </c>
      <c r="S32" s="184" t="str">
        <f>IF('[1]Annual Parameters Source'!S32="","-",'[1]Annual Parameters Source'!S32)</f>
        <v>-</v>
      </c>
      <c r="T32" s="183" t="str">
        <f>IF('[1]Annual Parameters Source'!T32="","-",'[1]Annual Parameters Source'!T32)</f>
        <v>-</v>
      </c>
      <c r="U32" s="183" t="str">
        <f>IF('[1]Annual Parameters Source'!U32="","-",'[1]Annual Parameters Source'!U32)</f>
        <v>-</v>
      </c>
      <c r="V32" s="185" t="str">
        <f>IF('[1]Annual Parameters Source'!V32="","-",'[1]Annual Parameters Source'!V32)</f>
        <v>-</v>
      </c>
      <c r="W32" s="186" t="str">
        <f>IF('[1]Annual Parameters Source'!W32="","-",'[1]Annual Parameters Source'!W32)</f>
        <v>-</v>
      </c>
    </row>
    <row r="33" spans="1:26" ht="13.5" customHeight="1" x14ac:dyDescent="0.25">
      <c r="A33" s="180"/>
      <c r="B33" s="85">
        <v>1994</v>
      </c>
      <c r="C33" s="138"/>
      <c r="D33" s="181">
        <f>IF('[1]Annual Parameters Source'!D33="","-",'[1]Annual Parameters Source'!D33/VLOOKUP($B$14,'[1]Annual Parameters Source'!$B$29:$D$139,3,1)*100)</f>
        <v>71.110501103396302</v>
      </c>
      <c r="E33" s="182">
        <f>IF('[1]Annual Parameters Source'!E33="","-",'[1]Annual Parameters Source'!E33)</f>
        <v>1183144</v>
      </c>
      <c r="F33" s="183">
        <f>IF('[1]Annual Parameters Source'!F33="","-",'[1]Annual Parameters Source'!F33)</f>
        <v>3.8850747697113963</v>
      </c>
      <c r="G33" s="184">
        <f>IF('[1]Annual Parameters Source'!G33="","-",'[1]Annual Parameters Source'!G33)</f>
        <v>105.67682547225004</v>
      </c>
      <c r="H33" s="182">
        <f>IF('[1]Annual Parameters Source'!H33="","-",'[1]Annual Parameters Source'!H33)</f>
        <v>57862.1</v>
      </c>
      <c r="I33" s="183">
        <f>IF('[1]Annual Parameters Source'!I33="","-",'[1]Annual Parameters Source'!I33)</f>
        <v>0.25678389434780374</v>
      </c>
      <c r="J33" s="184">
        <f>IF('[1]Annual Parameters Source'!J33="","-",'[1]Annual Parameters Source'!J33)</f>
        <v>101.09124262939507</v>
      </c>
      <c r="K33" s="182" t="str">
        <f>IF('[1]Annual Parameters Source'!K33="","-",'[1]Annual Parameters Source'!K33)</f>
        <v>-</v>
      </c>
      <c r="L33" s="183" t="str">
        <f>IF('[1]Annual Parameters Source'!L33="","-",'[1]Annual Parameters Source'!L33)</f>
        <v>-</v>
      </c>
      <c r="M33" s="184" t="str">
        <f>IF('[1]Annual Parameters Source'!M33="","-",'[1]Annual Parameters Source'!M33)</f>
        <v>-</v>
      </c>
      <c r="N33" s="182">
        <f>IF('[1]Annual Parameters Source'!N33="","-",'[1]Annual Parameters Source'!N33)</f>
        <v>20447.650534633205</v>
      </c>
      <c r="O33" s="183">
        <f>IF('[1]Annual Parameters Source'!O33="","-",'[1]Annual Parameters Source'!O33)</f>
        <v>3.6189978716922866</v>
      </c>
      <c r="P33" s="184">
        <f>IF('[1]Annual Parameters Source'!P33="","-",'[1]Annual Parameters Source'!P33)</f>
        <v>104.53608316960344</v>
      </c>
      <c r="Q33" s="182" t="str">
        <f>IF('[1]Annual Parameters Source'!Q33="","-",'[1]Annual Parameters Source'!Q33)</f>
        <v>-</v>
      </c>
      <c r="R33" s="183" t="str">
        <f>IF('[1]Annual Parameters Source'!R33="","-",'[1]Annual Parameters Source'!R33)</f>
        <v>-</v>
      </c>
      <c r="S33" s="184" t="str">
        <f>IF('[1]Annual Parameters Source'!S33="","-",'[1]Annual Parameters Source'!S33)</f>
        <v>-</v>
      </c>
      <c r="T33" s="183" t="str">
        <f>IF('[1]Annual Parameters Source'!T33="","-",'[1]Annual Parameters Source'!T33)</f>
        <v>-</v>
      </c>
      <c r="U33" s="183" t="str">
        <f>IF('[1]Annual Parameters Source'!U33="","-",'[1]Annual Parameters Source'!U33)</f>
        <v>-</v>
      </c>
      <c r="V33" s="185" t="str">
        <f>IF('[1]Annual Parameters Source'!V33="","-",'[1]Annual Parameters Source'!V33)</f>
        <v>-</v>
      </c>
      <c r="W33" s="186" t="str">
        <f>IF('[1]Annual Parameters Source'!W33="","-",'[1]Annual Parameters Source'!W33)</f>
        <v>-</v>
      </c>
    </row>
    <row r="34" spans="1:26" ht="13.5" customHeight="1" x14ac:dyDescent="0.25">
      <c r="A34" s="180"/>
      <c r="B34" s="85">
        <v>1995</v>
      </c>
      <c r="C34" s="138"/>
      <c r="D34" s="181">
        <f>IF('[1]Annual Parameters Source'!D34="","-",'[1]Annual Parameters Source'!D34/VLOOKUP($B$14,'[1]Annual Parameters Source'!$B$29:$D$139,3,1)*100)</f>
        <v>72.81199203401691</v>
      </c>
      <c r="E34" s="182">
        <f>IF('[1]Annual Parameters Source'!E34="","-",'[1]Annual Parameters Source'!E34)</f>
        <v>1212798</v>
      </c>
      <c r="F34" s="183">
        <f>IF('[1]Annual Parameters Source'!F34="","-",'[1]Annual Parameters Source'!F34)</f>
        <v>2.506372850642018</v>
      </c>
      <c r="G34" s="184">
        <f>IF('[1]Annual Parameters Source'!G34="","-",'[1]Annual Parameters Source'!G34)</f>
        <v>108.32548073530688</v>
      </c>
      <c r="H34" s="182">
        <f>IF('[1]Annual Parameters Source'!H34="","-",'[1]Annual Parameters Source'!H34)</f>
        <v>58024.800000000003</v>
      </c>
      <c r="I34" s="183">
        <f>IF('[1]Annual Parameters Source'!I34="","-",'[1]Annual Parameters Source'!I34)</f>
        <v>0.2811857848228882</v>
      </c>
      <c r="J34" s="184">
        <f>IF('[1]Annual Parameters Source'!J34="","-",'[1]Annual Parameters Source'!J34)</f>
        <v>101.37549683336974</v>
      </c>
      <c r="K34" s="182" t="str">
        <f>IF('[1]Annual Parameters Source'!K34="","-",'[1]Annual Parameters Source'!K34)</f>
        <v>-</v>
      </c>
      <c r="L34" s="183" t="str">
        <f>IF('[1]Annual Parameters Source'!L34="","-",'[1]Annual Parameters Source'!L34)</f>
        <v>-</v>
      </c>
      <c r="M34" s="184" t="str">
        <f>IF('[1]Annual Parameters Source'!M34="","-",'[1]Annual Parameters Source'!M34)</f>
        <v>-</v>
      </c>
      <c r="N34" s="182">
        <f>IF('[1]Annual Parameters Source'!N34="","-",'[1]Annual Parameters Source'!N34)</f>
        <v>20901.37320593953</v>
      </c>
      <c r="O34" s="183">
        <f>IF('[1]Annual Parameters Source'!O34="","-",'[1]Annual Parameters Source'!O34)</f>
        <v>2.2189477003132119</v>
      </c>
      <c r="P34" s="184">
        <f>IF('[1]Annual Parameters Source'!P34="","-",'[1]Annual Parameters Source'!P34)</f>
        <v>106.85568418309285</v>
      </c>
      <c r="Q34" s="182" t="str">
        <f>IF('[1]Annual Parameters Source'!Q34="","-",'[1]Annual Parameters Source'!Q34)</f>
        <v>-</v>
      </c>
      <c r="R34" s="183" t="str">
        <f>IF('[1]Annual Parameters Source'!R34="","-",'[1]Annual Parameters Source'!R34)</f>
        <v>-</v>
      </c>
      <c r="S34" s="184" t="str">
        <f>IF('[1]Annual Parameters Source'!S34="","-",'[1]Annual Parameters Source'!S34)</f>
        <v>-</v>
      </c>
      <c r="T34" s="183" t="str">
        <f>IF('[1]Annual Parameters Source'!T34="","-",'[1]Annual Parameters Source'!T34)</f>
        <v>-</v>
      </c>
      <c r="U34" s="183" t="str">
        <f>IF('[1]Annual Parameters Source'!U34="","-",'[1]Annual Parameters Source'!U34)</f>
        <v>-</v>
      </c>
      <c r="V34" s="185" t="str">
        <f>IF('[1]Annual Parameters Source'!V34="","-",'[1]Annual Parameters Source'!V34)</f>
        <v>-</v>
      </c>
      <c r="W34" s="186" t="str">
        <f>IF('[1]Annual Parameters Source'!W34="","-",'[1]Annual Parameters Source'!W34)</f>
        <v>-</v>
      </c>
    </row>
    <row r="35" spans="1:26" ht="13.5" customHeight="1" x14ac:dyDescent="0.25">
      <c r="A35" s="180"/>
      <c r="B35" s="85">
        <v>1996</v>
      </c>
      <c r="C35" s="138"/>
      <c r="D35" s="181">
        <f>IF('[1]Annual Parameters Source'!D35="","-",'[1]Annual Parameters Source'!D35/VLOOKUP($B$14,'[1]Annual Parameters Source'!$B$29:$D$139,3,1)*100)</f>
        <v>75.779213090047904</v>
      </c>
      <c r="E35" s="182">
        <f>IF('[1]Annual Parameters Source'!E35="","-",'[1]Annual Parameters Source'!E35)</f>
        <v>1243709</v>
      </c>
      <c r="F35" s="183">
        <f>IF('[1]Annual Parameters Source'!F35="","-",'[1]Annual Parameters Source'!F35)</f>
        <v>2.5487344141398651</v>
      </c>
      <c r="G35" s="184">
        <f>IF('[1]Annual Parameters Source'!G35="","-",'[1]Annual Parameters Source'!G35)</f>
        <v>111.0864095420901</v>
      </c>
      <c r="H35" s="182">
        <f>IF('[1]Annual Parameters Source'!H35="","-",'[1]Annual Parameters Source'!H35)</f>
        <v>58164.4</v>
      </c>
      <c r="I35" s="183">
        <f>IF('[1]Annual Parameters Source'!I35="","-",'[1]Annual Parameters Source'!I35)</f>
        <v>0.24058678358218991</v>
      </c>
      <c r="J35" s="184">
        <f>IF('[1]Annual Parameters Source'!J35="","-",'[1]Annual Parameters Source'!J35)</f>
        <v>101.6193928805416</v>
      </c>
      <c r="K35" s="182">
        <f>IF('[1]Annual Parameters Source'!K35="","-",'[1]Annual Parameters Source'!K35)</f>
        <v>23738</v>
      </c>
      <c r="L35" s="183" t="str">
        <f>IF('[1]Annual Parameters Source'!L35="","-",'[1]Annual Parameters Source'!L35)</f>
        <v>-</v>
      </c>
      <c r="M35" s="184">
        <f>IF('[1]Annual Parameters Source'!M35="","-",'[1]Annual Parameters Source'!M35)</f>
        <v>100</v>
      </c>
      <c r="N35" s="182">
        <f>IF('[1]Annual Parameters Source'!N35="","-",'[1]Annual Parameters Source'!N35)</f>
        <v>21382.649868304325</v>
      </c>
      <c r="O35" s="183">
        <f>IF('[1]Annual Parameters Source'!O35="","-",'[1]Annual Parameters Source'!O35)</f>
        <v>2.3026078603679112</v>
      </c>
      <c r="P35" s="184">
        <f>IF('[1]Annual Parameters Source'!P35="","-",'[1]Annual Parameters Source'!P35)</f>
        <v>109.31615156634265</v>
      </c>
      <c r="Q35" s="182">
        <f>IF('[1]Annual Parameters Source'!Q35="","-",'[1]Annual Parameters Source'!Q35)</f>
        <v>52393.167073889963</v>
      </c>
      <c r="R35" s="183" t="str">
        <f>IF('[1]Annual Parameters Source'!R35="","-",'[1]Annual Parameters Source'!R35)</f>
        <v>-</v>
      </c>
      <c r="S35" s="184">
        <f>IF('[1]Annual Parameters Source'!S35="","-",'[1]Annual Parameters Source'!S35)</f>
        <v>100</v>
      </c>
      <c r="T35" s="183" t="str">
        <f>IF('[1]Annual Parameters Source'!T35="","-",'[1]Annual Parameters Source'!T35)</f>
        <v>-</v>
      </c>
      <c r="U35" s="183" t="str">
        <f>IF('[1]Annual Parameters Source'!U35="","-",'[1]Annual Parameters Source'!U35)</f>
        <v>-</v>
      </c>
      <c r="V35" s="185" t="str">
        <f>IF('[1]Annual Parameters Source'!V35="","-",'[1]Annual Parameters Source'!V35)</f>
        <v>-</v>
      </c>
      <c r="W35" s="186" t="str">
        <f>IF('[1]Annual Parameters Source'!W35="","-",'[1]Annual Parameters Source'!W35)</f>
        <v>-</v>
      </c>
    </row>
    <row r="36" spans="1:26" ht="13.5" customHeight="1" x14ac:dyDescent="0.25">
      <c r="A36" s="180"/>
      <c r="B36" s="85">
        <v>1997</v>
      </c>
      <c r="C36" s="138"/>
      <c r="D36" s="181">
        <f>IF('[1]Annual Parameters Source'!D36="","-",'[1]Annual Parameters Source'!D36/VLOOKUP($B$14,'[1]Annual Parameters Source'!$B$29:$D$139,3,1)*100)</f>
        <v>77.263361860164707</v>
      </c>
      <c r="E36" s="182">
        <f>IF('[1]Annual Parameters Source'!E36="","-",'[1]Annual Parameters Source'!E36)</f>
        <v>1282602</v>
      </c>
      <c r="F36" s="183">
        <f>IF('[1]Annual Parameters Source'!F36="","-",'[1]Annual Parameters Source'!F36)</f>
        <v>3.127178463772474</v>
      </c>
      <c r="G36" s="184">
        <f>IF('[1]Annual Parameters Source'!G36="","-",'[1]Annual Parameters Source'!G36)</f>
        <v>114.56027981746844</v>
      </c>
      <c r="H36" s="182">
        <f>IF('[1]Annual Parameters Source'!H36="","-",'[1]Annual Parameters Source'!H36)</f>
        <v>58314.2</v>
      </c>
      <c r="I36" s="183">
        <f>IF('[1]Annual Parameters Source'!I36="","-",'[1]Annual Parameters Source'!I36)</f>
        <v>0.2575458527896714</v>
      </c>
      <c r="J36" s="184">
        <f>IF('[1]Annual Parameters Source'!J36="","-",'[1]Annual Parameters Source'!J36)</f>
        <v>101.88110941253548</v>
      </c>
      <c r="K36" s="182">
        <f>IF('[1]Annual Parameters Source'!K36="","-",'[1]Annual Parameters Source'!K36)</f>
        <v>23865</v>
      </c>
      <c r="L36" s="183">
        <f>IF('[1]Annual Parameters Source'!L36="","-",'[1]Annual Parameters Source'!L36)</f>
        <v>0.53500716151318561</v>
      </c>
      <c r="M36" s="184">
        <f>IF('[1]Annual Parameters Source'!M36="","-",'[1]Annual Parameters Source'!M36)</f>
        <v>100.53500716151319</v>
      </c>
      <c r="N36" s="182">
        <f>IF('[1]Annual Parameters Source'!N36="","-",'[1]Annual Parameters Source'!N36)</f>
        <v>21994.677111235342</v>
      </c>
      <c r="O36" s="183">
        <f>IF('[1]Annual Parameters Source'!O36="","-",'[1]Annual Parameters Source'!O36)</f>
        <v>2.8622609765416973</v>
      </c>
      <c r="P36" s="184">
        <f>IF('[1]Annual Parameters Source'!P36="","-",'[1]Annual Parameters Source'!P36)</f>
        <v>112.44506511368326</v>
      </c>
      <c r="Q36" s="182">
        <f>IF('[1]Annual Parameters Source'!Q36="","-",'[1]Annual Parameters Source'!Q36)</f>
        <v>53744.060339409174</v>
      </c>
      <c r="R36" s="183">
        <f>IF('[1]Annual Parameters Source'!R36="","-",'[1]Annual Parameters Source'!R36)</f>
        <v>2.5783768017192843</v>
      </c>
      <c r="S36" s="184">
        <f>IF('[1]Annual Parameters Source'!S36="","-",'[1]Annual Parameters Source'!S36)</f>
        <v>102.57837680171927</v>
      </c>
      <c r="T36" s="183" t="str">
        <f>IF('[1]Annual Parameters Source'!T36="","-",'[1]Annual Parameters Source'!T36)</f>
        <v>-</v>
      </c>
      <c r="U36" s="183" t="str">
        <f>IF('[1]Annual Parameters Source'!U36="","-",'[1]Annual Parameters Source'!U36)</f>
        <v>-</v>
      </c>
      <c r="V36" s="185" t="str">
        <f>IF('[1]Annual Parameters Source'!V36="","-",'[1]Annual Parameters Source'!V36)</f>
        <v>-</v>
      </c>
      <c r="W36" s="186" t="str">
        <f>IF('[1]Annual Parameters Source'!W36="","-",'[1]Annual Parameters Source'!W36)</f>
        <v>-</v>
      </c>
    </row>
    <row r="37" spans="1:26" ht="13.5" customHeight="1" x14ac:dyDescent="0.25">
      <c r="A37" s="180"/>
      <c r="B37" s="85">
        <v>1998</v>
      </c>
      <c r="C37" s="138"/>
      <c r="D37" s="181">
        <f>IF('[1]Annual Parameters Source'!D37="","-",'[1]Annual Parameters Source'!D37/VLOOKUP($B$14,'[1]Annual Parameters Source'!$B$29:$D$139,3,1)*100)</f>
        <v>78.17794283868885</v>
      </c>
      <c r="E37" s="182">
        <f>IF('[1]Annual Parameters Source'!E37="","-",'[1]Annual Parameters Source'!E37)</f>
        <v>1323527</v>
      </c>
      <c r="F37" s="183">
        <f>IF('[1]Annual Parameters Source'!F37="","-",'[1]Annual Parameters Source'!F37)</f>
        <v>3.1907793688143324</v>
      </c>
      <c r="G37" s="184">
        <f>IF('[1]Annual Parameters Source'!G37="","-",'[1]Annual Parameters Source'!G37)</f>
        <v>118.21564559074018</v>
      </c>
      <c r="H37" s="182">
        <f>IF('[1]Annual Parameters Source'!H37="","-",'[1]Annual Parameters Source'!H37)</f>
        <v>58474.9</v>
      </c>
      <c r="I37" s="183">
        <f>IF('[1]Annual Parameters Source'!I37="","-",'[1]Annual Parameters Source'!I37)</f>
        <v>0.27557610324758697</v>
      </c>
      <c r="J37" s="184">
        <f>IF('[1]Annual Parameters Source'!J37="","-",'[1]Annual Parameters Source'!J37)</f>
        <v>102.16186940379995</v>
      </c>
      <c r="K37" s="182">
        <f>IF('[1]Annual Parameters Source'!K37="","-",'[1]Annual Parameters Source'!K37)</f>
        <v>24036</v>
      </c>
      <c r="L37" s="183">
        <f>IF('[1]Annual Parameters Source'!L37="","-",'[1]Annual Parameters Source'!L37)</f>
        <v>0.71653048397234442</v>
      </c>
      <c r="M37" s="184">
        <f>IF('[1]Annual Parameters Source'!M37="","-",'[1]Annual Parameters Source'!M37)</f>
        <v>101.25537113488922</v>
      </c>
      <c r="N37" s="182">
        <f>IF('[1]Annual Parameters Source'!N37="","-",'[1]Annual Parameters Source'!N37)</f>
        <v>22634.104547421201</v>
      </c>
      <c r="O37" s="183">
        <f>IF('[1]Annual Parameters Source'!O37="","-",'[1]Annual Parameters Source'!O37)</f>
        <v>2.9071917398561187</v>
      </c>
      <c r="P37" s="184">
        <f>IF('[1]Annual Parameters Source'!P37="","-",'[1]Annual Parameters Source'!P37)</f>
        <v>115.71405875854408</v>
      </c>
      <c r="Q37" s="182">
        <f>IF('[1]Annual Parameters Source'!Q37="","-",'[1]Annual Parameters Source'!Q37)</f>
        <v>55064.361790647359</v>
      </c>
      <c r="R37" s="183">
        <f>IF('[1]Annual Parameters Source'!R37="","-",'[1]Annual Parameters Source'!R37)</f>
        <v>2.4566462654665555</v>
      </c>
      <c r="S37" s="184">
        <f>IF('[1]Annual Parameters Source'!S37="","-",'[1]Annual Parameters Source'!S37)</f>
        <v>105.09836466459492</v>
      </c>
      <c r="T37" s="183" t="str">
        <f>IF('[1]Annual Parameters Source'!T37="","-",'[1]Annual Parameters Source'!T37)</f>
        <v>-</v>
      </c>
      <c r="U37" s="183" t="str">
        <f>IF('[1]Annual Parameters Source'!U37="","-",'[1]Annual Parameters Source'!U37)</f>
        <v>-</v>
      </c>
      <c r="V37" s="185" t="str">
        <f>IF('[1]Annual Parameters Source'!V37="","-",'[1]Annual Parameters Source'!V37)</f>
        <v>-</v>
      </c>
      <c r="W37" s="186" t="str">
        <f>IF('[1]Annual Parameters Source'!W37="","-",'[1]Annual Parameters Source'!W37)</f>
        <v>-</v>
      </c>
    </row>
    <row r="38" spans="1:26" ht="13.5" customHeight="1" x14ac:dyDescent="0.25">
      <c r="A38" s="180"/>
      <c r="B38" s="85">
        <v>1999</v>
      </c>
      <c r="C38" s="138"/>
      <c r="D38" s="181">
        <f>IF('[1]Annual Parameters Source'!D38="","-",'[1]Annual Parameters Source'!D38/VLOOKUP($B$14,'[1]Annual Parameters Source'!$B$29:$D$139,3,1)*100)</f>
        <v>78.85806555788794</v>
      </c>
      <c r="E38" s="182">
        <f>IF('[1]Annual Parameters Source'!E38="","-",'[1]Annual Parameters Source'!E38)</f>
        <v>1366983</v>
      </c>
      <c r="F38" s="183">
        <f>IF('[1]Annual Parameters Source'!F38="","-",'[1]Annual Parameters Source'!F38)</f>
        <v>3.2833482052122851</v>
      </c>
      <c r="G38" s="184">
        <f>IF('[1]Annual Parameters Source'!G38="","-",'[1]Annual Parameters Source'!G38)</f>
        <v>122.09707686852387</v>
      </c>
      <c r="H38" s="182">
        <f>IF('[1]Annual Parameters Source'!H38="","-",'[1]Annual Parameters Source'!H38)</f>
        <v>58684.4</v>
      </c>
      <c r="I38" s="183">
        <f>IF('[1]Annual Parameters Source'!I38="","-",'[1]Annual Parameters Source'!I38)</f>
        <v>0.35827337883433746</v>
      </c>
      <c r="J38" s="184">
        <f>IF('[1]Annual Parameters Source'!J38="","-",'[1]Annual Parameters Source'!J38)</f>
        <v>102.52788818519328</v>
      </c>
      <c r="K38" s="182">
        <f>IF('[1]Annual Parameters Source'!K38="","-",'[1]Annual Parameters Source'!K38)</f>
        <v>24209</v>
      </c>
      <c r="L38" s="183">
        <f>IF('[1]Annual Parameters Source'!L38="","-",'[1]Annual Parameters Source'!L38)</f>
        <v>0.71975370277916462</v>
      </c>
      <c r="M38" s="184">
        <f>IF('[1]Annual Parameters Source'!M38="","-",'[1]Annual Parameters Source'!M38)</f>
        <v>101.98416041789537</v>
      </c>
      <c r="N38" s="182">
        <f>IF('[1]Annual Parameters Source'!N38="","-",'[1]Annual Parameters Source'!N38)</f>
        <v>23293.805508789388</v>
      </c>
      <c r="O38" s="183">
        <f>IF('[1]Annual Parameters Source'!O38="","-",'[1]Annual Parameters Source'!O38)</f>
        <v>2.9146324741322616</v>
      </c>
      <c r="P38" s="184">
        <f>IF('[1]Annual Parameters Source'!P38="","-",'[1]Annual Parameters Source'!P38)</f>
        <v>119.0866982922571</v>
      </c>
      <c r="Q38" s="182">
        <f>IF('[1]Annual Parameters Source'!Q38="","-",'[1]Annual Parameters Source'!Q38)</f>
        <v>56465.901111157007</v>
      </c>
      <c r="R38" s="183">
        <f>IF('[1]Annual Parameters Source'!R38="","-",'[1]Annual Parameters Source'!R38)</f>
        <v>2.5452747928655706</v>
      </c>
      <c r="S38" s="184">
        <f>IF('[1]Annual Parameters Source'!S38="","-",'[1]Annual Parameters Source'!S38)</f>
        <v>107.77340684811679</v>
      </c>
      <c r="T38" s="183" t="str">
        <f>IF('[1]Annual Parameters Source'!T38="","-",'[1]Annual Parameters Source'!T38)</f>
        <v>-</v>
      </c>
      <c r="U38" s="183" t="str">
        <f>IF('[1]Annual Parameters Source'!U38="","-",'[1]Annual Parameters Source'!U38)</f>
        <v>-</v>
      </c>
      <c r="V38" s="185" t="str">
        <f>IF('[1]Annual Parameters Source'!V38="","-",'[1]Annual Parameters Source'!V38)</f>
        <v>-</v>
      </c>
      <c r="W38" s="186" t="str">
        <f>IF('[1]Annual Parameters Source'!W38="","-",'[1]Annual Parameters Source'!W38)</f>
        <v>-</v>
      </c>
    </row>
    <row r="39" spans="1:26" ht="13.5" customHeight="1" x14ac:dyDescent="0.25">
      <c r="A39" s="180"/>
      <c r="B39" s="85">
        <v>2000</v>
      </c>
      <c r="C39" s="138"/>
      <c r="D39" s="181">
        <f>IF('[1]Annual Parameters Source'!D39="","-",'[1]Annual Parameters Source'!D39/VLOOKUP($B$14,'[1]Annual Parameters Source'!$B$29:$D$139,3,1)*100)</f>
        <v>80.447279186177951</v>
      </c>
      <c r="E39" s="182">
        <f>IF('[1]Annual Parameters Source'!E39="","-",'[1]Annual Parameters Source'!E39)</f>
        <v>1418176</v>
      </c>
      <c r="F39" s="183">
        <f>IF('[1]Annual Parameters Source'!F39="","-",'[1]Annual Parameters Source'!F39)</f>
        <v>3.7449624464971403</v>
      </c>
      <c r="G39" s="184">
        <f>IF('[1]Annual Parameters Source'!G39="","-",'[1]Annual Parameters Source'!G39)</f>
        <v>126.66956654552082</v>
      </c>
      <c r="H39" s="182">
        <f>IF('[1]Annual Parameters Source'!H39="","-",'[1]Annual Parameters Source'!H39)</f>
        <v>58886.1</v>
      </c>
      <c r="I39" s="183">
        <f>IF('[1]Annual Parameters Source'!I39="","-",'[1]Annual Parameters Source'!I39)</f>
        <v>0.34370292616095088</v>
      </c>
      <c r="J39" s="184">
        <f>IF('[1]Annual Parameters Source'!J39="","-",'[1]Annual Parameters Source'!J39)</f>
        <v>102.88027953701682</v>
      </c>
      <c r="K39" s="182">
        <f>IF('[1]Annual Parameters Source'!K39="","-",'[1]Annual Parameters Source'!K39)</f>
        <v>24396</v>
      </c>
      <c r="L39" s="183">
        <f>IF('[1]Annual Parameters Source'!L39="","-",'[1]Annual Parameters Source'!L39)</f>
        <v>0.77244000165227811</v>
      </c>
      <c r="M39" s="184">
        <f>IF('[1]Annual Parameters Source'!M39="","-",'[1]Annual Parameters Source'!M39)</f>
        <v>102.77192686831242</v>
      </c>
      <c r="N39" s="182">
        <f>IF('[1]Annual Parameters Source'!N39="","-",'[1]Annual Parameters Source'!N39)</f>
        <v>24083.374514528896</v>
      </c>
      <c r="O39" s="183">
        <f>IF('[1]Annual Parameters Source'!O39="","-",'[1]Annual Parameters Source'!O39)</f>
        <v>3.3896093338702471</v>
      </c>
      <c r="P39" s="184">
        <f>IF('[1]Annual Parameters Source'!P39="","-",'[1]Annual Parameters Source'!P39)</f>
        <v>123.12327213296936</v>
      </c>
      <c r="Q39" s="182">
        <f>IF('[1]Annual Parameters Source'!Q39="","-",'[1]Annual Parameters Source'!Q39)</f>
        <v>58131.496966715858</v>
      </c>
      <c r="R39" s="183">
        <f>IF('[1]Annual Parameters Source'!R39="","-",'[1]Annual Parameters Source'!R39)</f>
        <v>2.9497374925089748</v>
      </c>
      <c r="S39" s="184">
        <f>IF('[1]Annual Parameters Source'!S39="","-",'[1]Annual Parameters Source'!S39)</f>
        <v>110.95243943686992</v>
      </c>
      <c r="T39" s="183" t="str">
        <f>IF('[1]Annual Parameters Source'!T39="","-",'[1]Annual Parameters Source'!T39)</f>
        <v>-</v>
      </c>
      <c r="U39" s="183" t="str">
        <f>IF('[1]Annual Parameters Source'!U39="","-",'[1]Annual Parameters Source'!U39)</f>
        <v>-</v>
      </c>
      <c r="V39" s="185" t="str">
        <f>IF('[1]Annual Parameters Source'!V39="","-",'[1]Annual Parameters Source'!V39)</f>
        <v>-</v>
      </c>
      <c r="W39" s="186" t="str">
        <f>IF('[1]Annual Parameters Source'!W39="","-",'[1]Annual Parameters Source'!W39)</f>
        <v>-</v>
      </c>
    </row>
    <row r="40" spans="1:26" ht="13.5" customHeight="1" x14ac:dyDescent="0.25">
      <c r="A40" s="180"/>
      <c r="B40" s="85">
        <v>2001</v>
      </c>
      <c r="C40" s="138"/>
      <c r="D40" s="181">
        <f>IF('[1]Annual Parameters Source'!D40="","-",'[1]Annual Parameters Source'!D40/VLOOKUP($B$14,'[1]Annual Parameters Source'!$B$29:$D$139,3,1)*100)</f>
        <v>81.189084450185689</v>
      </c>
      <c r="E40" s="182">
        <f>IF('[1]Annual Parameters Source'!E40="","-",'[1]Annual Parameters Source'!E40)</f>
        <v>1456837</v>
      </c>
      <c r="F40" s="183">
        <f>IF('[1]Annual Parameters Source'!F40="","-",'[1]Annual Parameters Source'!F40)</f>
        <v>2.7261073378762579</v>
      </c>
      <c r="G40" s="184">
        <f>IF('[1]Annual Parameters Source'!G40="","-",'[1]Annual Parameters Source'!G40)</f>
        <v>130.12271489397432</v>
      </c>
      <c r="H40" s="182">
        <f>IF('[1]Annual Parameters Source'!H40="","-",'[1]Annual Parameters Source'!H40)</f>
        <v>59113</v>
      </c>
      <c r="I40" s="183">
        <f>IF('[1]Annual Parameters Source'!I40="","-",'[1]Annual Parameters Source'!I40)</f>
        <v>0.38532013497243228</v>
      </c>
      <c r="J40" s="184">
        <f>IF('[1]Annual Parameters Source'!J40="","-",'[1]Annual Parameters Source'!J40)</f>
        <v>103.27669796898887</v>
      </c>
      <c r="K40" s="182">
        <f>IF('[1]Annual Parameters Source'!K40="","-",'[1]Annual Parameters Source'!K40)</f>
        <v>24535</v>
      </c>
      <c r="L40" s="183">
        <f>IF('[1]Annual Parameters Source'!L40="","-",'[1]Annual Parameters Source'!L40)</f>
        <v>0.56976553533366125</v>
      </c>
      <c r="M40" s="184">
        <f>IF('[1]Annual Parameters Source'!M40="","-",'[1]Annual Parameters Source'!M40)</f>
        <v>103.35748588760639</v>
      </c>
      <c r="N40" s="182">
        <f>IF('[1]Annual Parameters Source'!N40="","-",'[1]Annual Parameters Source'!N40)</f>
        <v>24644.951195168574</v>
      </c>
      <c r="O40" s="183">
        <f>IF('[1]Annual Parameters Source'!O40="","-",'[1]Annual Parameters Source'!O40)</f>
        <v>2.3318022991374976</v>
      </c>
      <c r="P40" s="184">
        <f>IF('[1]Annual Parameters Source'!P40="","-",'[1]Annual Parameters Source'!P40)</f>
        <v>125.99426342333925</v>
      </c>
      <c r="Q40" s="182">
        <f>IF('[1]Annual Parameters Source'!Q40="","-",'[1]Annual Parameters Source'!Q40)</f>
        <v>59377.909109435503</v>
      </c>
      <c r="R40" s="183">
        <f>IF('[1]Annual Parameters Source'!R40="","-",'[1]Annual Parameters Source'!R40)</f>
        <v>2.144125315460732</v>
      </c>
      <c r="S40" s="184">
        <f>IF('[1]Annual Parameters Source'!S40="","-",'[1]Annual Parameters Source'!S40)</f>
        <v>113.33139877895708</v>
      </c>
      <c r="T40" s="183" t="str">
        <f>IF('[1]Annual Parameters Source'!T40="","-",'[1]Annual Parameters Source'!T40)</f>
        <v>-</v>
      </c>
      <c r="U40" s="183" t="str">
        <f>IF('[1]Annual Parameters Source'!U40="","-",'[1]Annual Parameters Source'!U40)</f>
        <v>-</v>
      </c>
      <c r="V40" s="185" t="str">
        <f>IF('[1]Annual Parameters Source'!V40="","-",'[1]Annual Parameters Source'!V40)</f>
        <v>-</v>
      </c>
      <c r="W40" s="186" t="str">
        <f>IF('[1]Annual Parameters Source'!W40="","-",'[1]Annual Parameters Source'!W40)</f>
        <v>-</v>
      </c>
    </row>
    <row r="41" spans="1:26" ht="13.5" customHeight="1" x14ac:dyDescent="0.25">
      <c r="A41" s="180"/>
      <c r="B41" s="85">
        <v>2002</v>
      </c>
      <c r="C41" s="138"/>
      <c r="D41" s="181">
        <f>IF('[1]Annual Parameters Source'!D41="","-",'[1]Annual Parameters Source'!D41/VLOOKUP($B$14,'[1]Annual Parameters Source'!$B$29:$D$139,3,1)*100)</f>
        <v>82.9706658054793</v>
      </c>
      <c r="E41" s="182">
        <f>IF('[1]Annual Parameters Source'!E41="","-",'[1]Annual Parameters Source'!E41)</f>
        <v>1491761</v>
      </c>
      <c r="F41" s="183">
        <f>IF('[1]Annual Parameters Source'!F41="","-",'[1]Annual Parameters Source'!F41)</f>
        <v>2.3972482851547565</v>
      </c>
      <c r="G41" s="184">
        <f>IF('[1]Annual Parameters Source'!G41="","-",'[1]Annual Parameters Source'!G41)</f>
        <v>133.24207944536695</v>
      </c>
      <c r="H41" s="182">
        <f>IF('[1]Annual Parameters Source'!H41="","-",'[1]Annual Parameters Source'!H41)</f>
        <v>59365.7</v>
      </c>
      <c r="I41" s="183">
        <f>IF('[1]Annual Parameters Source'!I41="","-",'[1]Annual Parameters Source'!I41)</f>
        <v>0.427486339722222</v>
      </c>
      <c r="J41" s="184">
        <f>IF('[1]Annual Parameters Source'!J41="","-",'[1]Annual Parameters Source'!J41)</f>
        <v>103.71819174492248</v>
      </c>
      <c r="K41" s="182">
        <f>IF('[1]Annual Parameters Source'!K41="","-",'[1]Annual Parameters Source'!K41)</f>
        <v>24792</v>
      </c>
      <c r="L41" s="183">
        <f>IF('[1]Annual Parameters Source'!L41="","-",'[1]Annual Parameters Source'!L41)</f>
        <v>1.0474831872834724</v>
      </c>
      <c r="M41" s="184">
        <f>IF('[1]Annual Parameters Source'!M41="","-",'[1]Annual Parameters Source'!M41)</f>
        <v>104.44013817507795</v>
      </c>
      <c r="N41" s="182">
        <f>IF('[1]Annual Parameters Source'!N41="","-",'[1]Annual Parameters Source'!N41)</f>
        <v>25128.331679740997</v>
      </c>
      <c r="O41" s="183">
        <f>IF('[1]Annual Parameters Source'!O41="","-",'[1]Annual Parameters Source'!O41)</f>
        <v>1.9613773252964872</v>
      </c>
      <c r="P41" s="184">
        <f>IF('[1]Annual Parameters Source'!P41="","-",'[1]Annual Parameters Source'!P41)</f>
        <v>128.46548633729893</v>
      </c>
      <c r="Q41" s="182">
        <f>IF('[1]Annual Parameters Source'!Q41="","-",'[1]Annual Parameters Source'!Q41)</f>
        <v>60171.063246208454</v>
      </c>
      <c r="R41" s="183">
        <f>IF('[1]Annual Parameters Source'!R41="","-",'[1]Annual Parameters Source'!R41)</f>
        <v>1.3357730992365369</v>
      </c>
      <c r="S41" s="184">
        <f>IF('[1]Annual Parameters Source'!S41="","-",'[1]Annual Parameters Source'!S41)</f>
        <v>114.84524911683488</v>
      </c>
      <c r="T41" s="183" t="str">
        <f>IF('[1]Annual Parameters Source'!T41="","-",'[1]Annual Parameters Source'!T41)</f>
        <v>-</v>
      </c>
      <c r="U41" s="183" t="str">
        <f>IF('[1]Annual Parameters Source'!U41="","-",'[1]Annual Parameters Source'!U41)</f>
        <v>-</v>
      </c>
      <c r="V41" s="185">
        <f>IF('[1]Annual Parameters Source'!V41="","-",'[1]Annual Parameters Source'!V41)</f>
        <v>100</v>
      </c>
      <c r="W41" s="186">
        <f>IF('[1]Annual Parameters Source'!W41="","-",'[1]Annual Parameters Source'!W41)</f>
        <v>100</v>
      </c>
      <c r="Z41" s="187"/>
    </row>
    <row r="42" spans="1:26" ht="13.5" customHeight="1" x14ac:dyDescent="0.25">
      <c r="A42" s="180"/>
      <c r="B42" s="85">
        <v>2003</v>
      </c>
      <c r="C42" s="138"/>
      <c r="D42" s="181">
        <f>IF('[1]Annual Parameters Source'!D42="","-",'[1]Annual Parameters Source'!D42/VLOOKUP($B$14,'[1]Annual Parameters Source'!$B$29:$D$139,3,1)*100)</f>
        <v>84.963668658162447</v>
      </c>
      <c r="E42" s="182">
        <f>IF('[1]Annual Parameters Source'!E42="","-",'[1]Annual Parameters Source'!E42)</f>
        <v>1543468</v>
      </c>
      <c r="F42" s="183">
        <f>IF('[1]Annual Parameters Source'!F42="","-",'[1]Annual Parameters Source'!F42)</f>
        <v>3.4661718599695259</v>
      </c>
      <c r="G42" s="184">
        <f>IF('[1]Annual Parameters Source'!G42="","-",'[1]Annual Parameters Source'!G42)</f>
        <v>137.8604789087405</v>
      </c>
      <c r="H42" s="182">
        <f>IF('[1]Annual Parameters Source'!H42="","-",'[1]Annual Parameters Source'!H42)</f>
        <v>59636.7</v>
      </c>
      <c r="I42" s="183">
        <f>IF('[1]Annual Parameters Source'!I42="","-",'[1]Annual Parameters Source'!I42)</f>
        <v>0.45649255378105541</v>
      </c>
      <c r="J42" s="184">
        <f>IF('[1]Annual Parameters Source'!J42="","-",'[1]Annual Parameters Source'!J42)</f>
        <v>104.19165756715442</v>
      </c>
      <c r="K42" s="182">
        <f>IF('[1]Annual Parameters Source'!K42="","-",'[1]Annual Parameters Source'!K42)</f>
        <v>24917</v>
      </c>
      <c r="L42" s="183">
        <f>IF('[1]Annual Parameters Source'!L42="","-",'[1]Annual Parameters Source'!L42)</f>
        <v>0.50419490158115521</v>
      </c>
      <c r="M42" s="184">
        <f>IF('[1]Annual Parameters Source'!M42="","-",'[1]Annual Parameters Source'!M42)</f>
        <v>104.96672002696101</v>
      </c>
      <c r="N42" s="182">
        <f>IF('[1]Annual Parameters Source'!N42="","-",'[1]Annual Parameters Source'!N42)</f>
        <v>25881.17719457985</v>
      </c>
      <c r="O42" s="183">
        <f>IF('[1]Annual Parameters Source'!O42="","-",'[1]Annual Parameters Source'!O42)</f>
        <v>2.9960027766022135</v>
      </c>
      <c r="P42" s="184">
        <f>IF('[1]Annual Parameters Source'!P42="","-",'[1]Annual Parameters Source'!P42)</f>
        <v>132.31431587493992</v>
      </c>
      <c r="Q42" s="182">
        <f>IF('[1]Annual Parameters Source'!Q42="","-",'[1]Annual Parameters Source'!Q42)</f>
        <v>61944.375326082591</v>
      </c>
      <c r="R42" s="183">
        <f>IF('[1]Annual Parameters Source'!R42="","-",'[1]Annual Parameters Source'!R42)</f>
        <v>2.9471177409946758</v>
      </c>
      <c r="S42" s="184">
        <f>IF('[1]Annual Parameters Source'!S42="","-",'[1]Annual Parameters Source'!S42)</f>
        <v>118.22987382824664</v>
      </c>
      <c r="T42" s="183">
        <f>IF('[1]Annual Parameters Source'!T42="","-",'[1]Annual Parameters Source'!T42)</f>
        <v>2.9960027766022135</v>
      </c>
      <c r="U42" s="183">
        <f>IF('[1]Annual Parameters Source'!U42="","-",'[1]Annual Parameters Source'!U42)</f>
        <v>2.9960027766022135</v>
      </c>
      <c r="V42" s="185">
        <f>IF('[1]Annual Parameters Source'!V42="","-",'[1]Annual Parameters Source'!V42)</f>
        <v>102.99600277660221</v>
      </c>
      <c r="W42" s="186">
        <f>IF('[1]Annual Parameters Source'!W42="","-",'[1]Annual Parameters Source'!W42)</f>
        <v>102.99600277660221</v>
      </c>
      <c r="Z42" s="187"/>
    </row>
    <row r="43" spans="1:26" ht="13.5" customHeight="1" x14ac:dyDescent="0.25">
      <c r="A43" s="180"/>
      <c r="B43" s="85">
        <v>2004</v>
      </c>
      <c r="C43" s="138"/>
      <c r="D43" s="181">
        <f>IF('[1]Annual Parameters Source'!D43="","-",'[1]Annual Parameters Source'!D43/VLOOKUP($B$14,'[1]Annual Parameters Source'!$B$29:$D$139,3,1)*100)</f>
        <v>87.034931912374191</v>
      </c>
      <c r="E43" s="182">
        <f>IF('[1]Annual Parameters Source'!E43="","-",'[1]Annual Parameters Source'!E43)</f>
        <v>1582486</v>
      </c>
      <c r="F43" s="183">
        <f>IF('[1]Annual Parameters Source'!F43="","-",'[1]Annual Parameters Source'!F43)</f>
        <v>2.5279435660473686</v>
      </c>
      <c r="G43" s="184">
        <f>IF('[1]Annual Parameters Source'!G43="","-",'[1]Annual Parameters Source'!G43)</f>
        <v>141.34551401543609</v>
      </c>
      <c r="H43" s="182">
        <f>IF('[1]Annual Parameters Source'!H43="","-",'[1]Annual Parameters Source'!H43)</f>
        <v>59950.400000000001</v>
      </c>
      <c r="I43" s="183">
        <f>IF('[1]Annual Parameters Source'!I43="","-",'[1]Annual Parameters Source'!I43)</f>
        <v>0.52601837459149203</v>
      </c>
      <c r="J43" s="184">
        <f>IF('[1]Annual Parameters Source'!J43="","-",'[1]Annual Parameters Source'!J43)</f>
        <v>104.7397248307491</v>
      </c>
      <c r="K43" s="182">
        <f>IF('[1]Annual Parameters Source'!K43="","-",'[1]Annual Parameters Source'!K43)</f>
        <v>24993</v>
      </c>
      <c r="L43" s="183">
        <f>IF('[1]Annual Parameters Source'!L43="","-",'[1]Annual Parameters Source'!L43)</f>
        <v>0.30501264197134487</v>
      </c>
      <c r="M43" s="184">
        <f>IF('[1]Annual Parameters Source'!M43="","-",'[1]Annual Parameters Source'!M43)</f>
        <v>105.28688179290592</v>
      </c>
      <c r="N43" s="182">
        <f>IF('[1]Annual Parameters Source'!N43="","-",'[1]Annual Parameters Source'!N43)</f>
        <v>26396.587845952654</v>
      </c>
      <c r="O43" s="183">
        <f>IF('[1]Annual Parameters Source'!O43="","-",'[1]Annual Parameters Source'!O43)</f>
        <v>1.9914497995892733</v>
      </c>
      <c r="P43" s="184">
        <f>IF('[1]Annual Parameters Source'!P43="","-",'[1]Annual Parameters Source'!P43)</f>
        <v>134.94928905325932</v>
      </c>
      <c r="Q43" s="182">
        <f>IF('[1]Annual Parameters Source'!Q43="","-",'[1]Annual Parameters Source'!Q43)</f>
        <v>63317.168807266033</v>
      </c>
      <c r="R43" s="183">
        <f>IF('[1]Annual Parameters Source'!R43="","-",'[1]Annual Parameters Source'!R43)</f>
        <v>2.2161713213780798</v>
      </c>
      <c r="S43" s="184">
        <f>IF('[1]Annual Parameters Source'!S43="","-",'[1]Annual Parameters Source'!S43)</f>
        <v>120.85005038532974</v>
      </c>
      <c r="T43" s="183">
        <f>IF('[1]Annual Parameters Source'!T43="","-",'[1]Annual Parameters Source'!T43)</f>
        <v>1.9914497995892733</v>
      </c>
      <c r="U43" s="183">
        <f>IF('[1]Annual Parameters Source'!U43="","-",'[1]Annual Parameters Source'!U43)</f>
        <v>1.9914497995892733</v>
      </c>
      <c r="V43" s="185">
        <f>IF('[1]Annual Parameters Source'!V43="","-",'[1]Annual Parameters Source'!V43)</f>
        <v>105.04711646748181</v>
      </c>
      <c r="W43" s="186">
        <f>IF('[1]Annual Parameters Source'!W43="","-",'[1]Annual Parameters Source'!W43)</f>
        <v>105.04711646748181</v>
      </c>
      <c r="Z43" s="187"/>
    </row>
    <row r="44" spans="1:26" ht="13.5" customHeight="1" x14ac:dyDescent="0.25">
      <c r="A44" s="180"/>
      <c r="B44" s="85">
        <v>2005</v>
      </c>
      <c r="C44" s="138"/>
      <c r="D44" s="181">
        <f>IF('[1]Annual Parameters Source'!D44="","-",'[1]Annual Parameters Source'!D44/VLOOKUP($B$14,'[1]Annual Parameters Source'!$B$29:$D$139,3,1)*100)</f>
        <v>89.350018838473545</v>
      </c>
      <c r="E44" s="182">
        <f>IF('[1]Annual Parameters Source'!E44="","-",'[1]Annual Parameters Source'!E44)</f>
        <v>1629519</v>
      </c>
      <c r="F44" s="183">
        <f>IF('[1]Annual Parameters Source'!F44="","-",'[1]Annual Parameters Source'!F44)</f>
        <v>2.972095803691154</v>
      </c>
      <c r="G44" s="184">
        <f>IF('[1]Annual Parameters Source'!G44="","-",'[1]Annual Parameters Source'!G44)</f>
        <v>145.54643810619456</v>
      </c>
      <c r="H44" s="182">
        <f>IF('[1]Annual Parameters Source'!H44="","-",'[1]Annual Parameters Source'!H44)</f>
        <v>60413.3</v>
      </c>
      <c r="I44" s="183">
        <f>IF('[1]Annual Parameters Source'!I44="","-",'[1]Annual Parameters Source'!I44)</f>
        <v>0.77213830099549197</v>
      </c>
      <c r="J44" s="184">
        <f>IF('[1]Annual Parameters Source'!J44="","-",'[1]Annual Parameters Source'!J44)</f>
        <v>105.54846036252461</v>
      </c>
      <c r="K44" s="182">
        <f>IF('[1]Annual Parameters Source'!K44="","-",'[1]Annual Parameters Source'!K44)</f>
        <v>25217</v>
      </c>
      <c r="L44" s="183">
        <f>IF('[1]Annual Parameters Source'!L44="","-",'[1]Annual Parameters Source'!L44)</f>
        <v>0.89625095026607449</v>
      </c>
      <c r="M44" s="184">
        <f>IF('[1]Annual Parameters Source'!M44="","-",'[1]Annual Parameters Source'!M44)</f>
        <v>106.23051647148036</v>
      </c>
      <c r="N44" s="182">
        <f>IF('[1]Annual Parameters Source'!N44="","-",'[1]Annual Parameters Source'!N44)</f>
        <v>26972.852004442728</v>
      </c>
      <c r="O44" s="183">
        <f>IF('[1]Annual Parameters Source'!O44="","-",'[1]Annual Parameters Source'!O44)</f>
        <v>2.1831009441564353</v>
      </c>
      <c r="P44" s="184">
        <f>IF('[1]Annual Parameters Source'!P44="","-",'[1]Annual Parameters Source'!P44)</f>
        <v>137.89536825671343</v>
      </c>
      <c r="Q44" s="182">
        <f>IF('[1]Annual Parameters Source'!Q44="","-",'[1]Annual Parameters Source'!Q44)</f>
        <v>64619.85961851132</v>
      </c>
      <c r="R44" s="183">
        <f>IF('[1]Annual Parameters Source'!R44="","-",'[1]Annual Parameters Source'!R44)</f>
        <v>2.0574053385276958</v>
      </c>
      <c r="S44" s="184">
        <f>IF('[1]Annual Parameters Source'!S44="","-",'[1]Annual Parameters Source'!S44)</f>
        <v>123.33642577357094</v>
      </c>
      <c r="T44" s="183">
        <f>IF('[1]Annual Parameters Source'!T44="","-",'[1]Annual Parameters Source'!T44)</f>
        <v>2.1831009441564353</v>
      </c>
      <c r="U44" s="183">
        <f>IF('[1]Annual Parameters Source'!U44="","-",'[1]Annual Parameters Source'!U44)</f>
        <v>2.1831009441564353</v>
      </c>
      <c r="V44" s="185">
        <f>IF('[1]Annual Parameters Source'!V44="","-",'[1]Annual Parameters Source'!V44)</f>
        <v>107.34040105889252</v>
      </c>
      <c r="W44" s="186">
        <f>IF('[1]Annual Parameters Source'!W44="","-",'[1]Annual Parameters Source'!W44)</f>
        <v>107.34040105889252</v>
      </c>
      <c r="Z44" s="187"/>
    </row>
    <row r="45" spans="1:26" ht="13.5" customHeight="1" x14ac:dyDescent="0.25">
      <c r="A45" s="180"/>
      <c r="B45" s="85">
        <v>2006</v>
      </c>
      <c r="C45" s="138"/>
      <c r="D45" s="181">
        <f>IF('[1]Annual Parameters Source'!D45="","-",'[1]Annual Parameters Source'!D45/VLOOKUP($B$14,'[1]Annual Parameters Source'!$B$29:$D$139,3,1)*100)</f>
        <v>91.987620431670152</v>
      </c>
      <c r="E45" s="182">
        <f>IF('[1]Annual Parameters Source'!E45="","-",'[1]Annual Parameters Source'!E45)</f>
        <v>1670306</v>
      </c>
      <c r="F45" s="183">
        <f>IF('[1]Annual Parameters Source'!F45="","-",'[1]Annual Parameters Source'!F45)</f>
        <v>2.5030085565126887</v>
      </c>
      <c r="G45" s="184">
        <f>IF('[1]Annual Parameters Source'!G45="","-",'[1]Annual Parameters Source'!G45)</f>
        <v>149.18947790569203</v>
      </c>
      <c r="H45" s="182">
        <f>IF('[1]Annual Parameters Source'!H45="","-",'[1]Annual Parameters Source'!H45)</f>
        <v>60827.1</v>
      </c>
      <c r="I45" s="183">
        <f>IF('[1]Annual Parameters Source'!I45="","-",'[1]Annual Parameters Source'!I45)</f>
        <v>0.68494851299299264</v>
      </c>
      <c r="J45" s="184">
        <f>IF('[1]Annual Parameters Source'!J45="","-",'[1]Annual Parameters Source'!J45)</f>
        <v>106.27141297226471</v>
      </c>
      <c r="K45" s="182">
        <f>IF('[1]Annual Parameters Source'!K45="","-",'[1]Annual Parameters Source'!K45)</f>
        <v>25379</v>
      </c>
      <c r="L45" s="183">
        <f>IF('[1]Annual Parameters Source'!L45="","-",'[1]Annual Parameters Source'!L45)</f>
        <v>0.64242376174802707</v>
      </c>
      <c r="M45" s="184">
        <f>IF('[1]Annual Parameters Source'!M45="","-",'[1]Annual Parameters Source'!M45)</f>
        <v>106.91296655152078</v>
      </c>
      <c r="N45" s="182">
        <f>IF('[1]Annual Parameters Source'!N45="","-",'[1]Annual Parameters Source'!N45)</f>
        <v>27459.898630709009</v>
      </c>
      <c r="O45" s="183">
        <f>IF('[1]Annual Parameters Source'!O45="","-",'[1]Annual Parameters Source'!O45)</f>
        <v>1.8056919831320073</v>
      </c>
      <c r="P45" s="184">
        <f>IF('[1]Annual Parameters Source'!P45="","-",'[1]Annual Parameters Source'!P45)</f>
        <v>140.38533386643527</v>
      </c>
      <c r="Q45" s="182">
        <f>IF('[1]Annual Parameters Source'!Q45="","-",'[1]Annual Parameters Source'!Q45)</f>
        <v>65814.492296780809</v>
      </c>
      <c r="R45" s="183">
        <f>IF('[1]Annual Parameters Source'!R45="","-",'[1]Annual Parameters Source'!R45)</f>
        <v>1.8487082536577715</v>
      </c>
      <c r="S45" s="184">
        <f>IF('[1]Annual Parameters Source'!S45="","-",'[1]Annual Parameters Source'!S45)</f>
        <v>125.61655645661344</v>
      </c>
      <c r="T45" s="183">
        <f>IF('[1]Annual Parameters Source'!T45="","-",'[1]Annual Parameters Source'!T45)</f>
        <v>1.8056919831320073</v>
      </c>
      <c r="U45" s="183">
        <f>IF('[1]Annual Parameters Source'!U45="","-",'[1]Annual Parameters Source'!U45)</f>
        <v>1.8056919831320073</v>
      </c>
      <c r="V45" s="185">
        <f>IF('[1]Annual Parameters Source'!V45="","-",'[1]Annual Parameters Source'!V45)</f>
        <v>109.27863807547469</v>
      </c>
      <c r="W45" s="186">
        <f>IF('[1]Annual Parameters Source'!W45="","-",'[1]Annual Parameters Source'!W45)</f>
        <v>109.27863807547469</v>
      </c>
      <c r="Z45" s="187"/>
    </row>
    <row r="46" spans="1:26" ht="13.5" customHeight="1" x14ac:dyDescent="0.25">
      <c r="A46" s="180"/>
      <c r="B46" s="85">
        <v>2007</v>
      </c>
      <c r="C46" s="138"/>
      <c r="D46" s="181">
        <f>IF('[1]Annual Parameters Source'!D46="","-",'[1]Annual Parameters Source'!D46/VLOOKUP($B$14,'[1]Annual Parameters Source'!$B$29:$D$139,3,1)*100)</f>
        <v>94.329081220733073</v>
      </c>
      <c r="E46" s="182">
        <f>IF('[1]Annual Parameters Source'!E46="","-",'[1]Annual Parameters Source'!E46)</f>
        <v>1712996</v>
      </c>
      <c r="F46" s="183">
        <f>IF('[1]Annual Parameters Source'!F46="","-",'[1]Annual Parameters Source'!F46)</f>
        <v>2.5558191133840147</v>
      </c>
      <c r="G46" s="184">
        <f>IF('[1]Annual Parameters Source'!G46="","-",'[1]Annual Parameters Source'!G46)</f>
        <v>153.00249109716353</v>
      </c>
      <c r="H46" s="182">
        <f>IF('[1]Annual Parameters Source'!H46="","-",'[1]Annual Parameters Source'!H46)</f>
        <v>61319.1</v>
      </c>
      <c r="I46" s="183">
        <f>IF('[1]Annual Parameters Source'!I46="","-",'[1]Annual Parameters Source'!I46)</f>
        <v>0.80885000271260676</v>
      </c>
      <c r="J46" s="184">
        <f>IF('[1]Annual Parameters Source'!J46="","-",'[1]Annual Parameters Source'!J46)</f>
        <v>107.1309892989736</v>
      </c>
      <c r="K46" s="182">
        <f>IF('[1]Annual Parameters Source'!K46="","-",'[1]Annual Parameters Source'!K46)</f>
        <v>25609</v>
      </c>
      <c r="L46" s="183">
        <f>IF('[1]Annual Parameters Source'!L46="","-",'[1]Annual Parameters Source'!L46)</f>
        <v>0.90626108199692668</v>
      </c>
      <c r="M46" s="184">
        <f>IF('[1]Annual Parameters Source'!M46="","-",'[1]Annual Parameters Source'!M46)</f>
        <v>107.8818771589856</v>
      </c>
      <c r="N46" s="182">
        <f>IF('[1]Annual Parameters Source'!N46="","-",'[1]Annual Parameters Source'!N46)</f>
        <v>27935.765528195945</v>
      </c>
      <c r="O46" s="183">
        <f>IF('[1]Annual Parameters Source'!O46="","-",'[1]Annual Parameters Source'!O46)</f>
        <v>1.7329521273423909</v>
      </c>
      <c r="P46" s="184">
        <f>IF('[1]Annual Parameters Source'!P46="","-",'[1]Annual Parameters Source'!P46)</f>
        <v>142.81814449615038</v>
      </c>
      <c r="Q46" s="182">
        <f>IF('[1]Annual Parameters Source'!Q46="","-",'[1]Annual Parameters Source'!Q46)</f>
        <v>66890.390097231444</v>
      </c>
      <c r="R46" s="183">
        <f>IF('[1]Annual Parameters Source'!R46="","-",'[1]Annual Parameters Source'!R46)</f>
        <v>1.6347429918611711</v>
      </c>
      <c r="S46" s="184">
        <f>IF('[1]Annual Parameters Source'!S46="","-",'[1]Annual Parameters Source'!S46)</f>
        <v>127.67006430990527</v>
      </c>
      <c r="T46" s="183">
        <f>IF('[1]Annual Parameters Source'!T46="","-",'[1]Annual Parameters Source'!T46)</f>
        <v>1.7329521273423909</v>
      </c>
      <c r="U46" s="183">
        <f>IF('[1]Annual Parameters Source'!U46="","-",'[1]Annual Parameters Source'!U46)</f>
        <v>1.7329521273423909</v>
      </c>
      <c r="V46" s="185">
        <f>IF('[1]Annual Parameters Source'!V46="","-",'[1]Annual Parameters Source'!V46)</f>
        <v>111.17238455873442</v>
      </c>
      <c r="W46" s="186">
        <f>IF('[1]Annual Parameters Source'!W46="","-",'[1]Annual Parameters Source'!W46)</f>
        <v>111.17238455873442</v>
      </c>
      <c r="Z46" s="187"/>
    </row>
    <row r="47" spans="1:26" ht="13.5" customHeight="1" x14ac:dyDescent="0.25">
      <c r="A47" s="180"/>
      <c r="B47" s="85">
        <v>2008</v>
      </c>
      <c r="C47" s="138"/>
      <c r="D47" s="181">
        <f>IF('[1]Annual Parameters Source'!D47="","-",'[1]Annual Parameters Source'!D47/VLOOKUP($B$14,'[1]Annual Parameters Source'!$B$29:$D$139,3,1)*100)</f>
        <v>97.012218095699453</v>
      </c>
      <c r="E47" s="182">
        <f>IF('[1]Annual Parameters Source'!E47="","-",'[1]Annual Parameters Source'!E47)</f>
        <v>1702252</v>
      </c>
      <c r="F47" s="183">
        <f>IF('[1]Annual Parameters Source'!F47="","-",'[1]Annual Parameters Source'!F47)</f>
        <v>-0.6272052007126695</v>
      </c>
      <c r="G47" s="184">
        <f>IF('[1]Annual Parameters Source'!G47="","-",'[1]Annual Parameters Source'!G47)</f>
        <v>152.04285151578219</v>
      </c>
      <c r="H47" s="182">
        <f>IF('[1]Annual Parameters Source'!H47="","-",'[1]Annual Parameters Source'!H47)</f>
        <v>61823.8</v>
      </c>
      <c r="I47" s="183">
        <f>IF('[1]Annual Parameters Source'!I47="","-",'[1]Annual Parameters Source'!I47)</f>
        <v>0.82307144103550833</v>
      </c>
      <c r="J47" s="184">
        <f>IF('[1]Annual Parameters Source'!J47="","-",'[1]Annual Parameters Source'!J47)</f>
        <v>108.01275387639225</v>
      </c>
      <c r="K47" s="182">
        <f>IF('[1]Annual Parameters Source'!K47="","-",'[1]Annual Parameters Source'!K47)</f>
        <v>25875</v>
      </c>
      <c r="L47" s="183">
        <f>IF('[1]Annual Parameters Source'!L47="","-",'[1]Annual Parameters Source'!L47)</f>
        <v>1.038697332968878</v>
      </c>
      <c r="M47" s="184">
        <f>IF('[1]Annual Parameters Source'!M47="","-",'[1]Annual Parameters Source'!M47)</f>
        <v>109.00244333979275</v>
      </c>
      <c r="N47" s="182">
        <f>IF('[1]Annual Parameters Source'!N47="","-",'[1]Annual Parameters Source'!N47)</f>
        <v>27533.927063687446</v>
      </c>
      <c r="O47" s="183">
        <f>IF('[1]Annual Parameters Source'!O47="","-",'[1]Annual Parameters Source'!O47)</f>
        <v>-1.4384372753376562</v>
      </c>
      <c r="P47" s="184">
        <f>IF('[1]Annual Parameters Source'!P47="","-",'[1]Annual Parameters Source'!P47)</f>
        <v>140.76379506977216</v>
      </c>
      <c r="Q47" s="182">
        <f>IF('[1]Annual Parameters Source'!Q47="","-",'[1]Annual Parameters Source'!Q47)</f>
        <v>65787.516908212565</v>
      </c>
      <c r="R47" s="183">
        <f>IF('[1]Annual Parameters Source'!R47="","-",'[1]Annual Parameters Source'!R47)</f>
        <v>-1.6487767337217685</v>
      </c>
      <c r="S47" s="184">
        <f>IF('[1]Annual Parameters Source'!S47="","-",'[1]Annual Parameters Source'!S47)</f>
        <v>125.56506999363593</v>
      </c>
      <c r="T47" s="183">
        <f>IF('[1]Annual Parameters Source'!T47="","-",'[1]Annual Parameters Source'!T47)</f>
        <v>-1.4384372753376562</v>
      </c>
      <c r="U47" s="183">
        <f>IF('[1]Annual Parameters Source'!U47="","-",'[1]Annual Parameters Source'!U47)</f>
        <v>-1.4384372753376562</v>
      </c>
      <c r="V47" s="185">
        <f>IF('[1]Annual Parameters Source'!V47="","-",'[1]Annual Parameters Source'!V47)</f>
        <v>109.57323953935985</v>
      </c>
      <c r="W47" s="186">
        <f>IF('[1]Annual Parameters Source'!W47="","-",'[1]Annual Parameters Source'!W47)</f>
        <v>109.57323953935985</v>
      </c>
      <c r="Z47" s="187"/>
    </row>
    <row r="48" spans="1:26" ht="13.5" customHeight="1" x14ac:dyDescent="0.25">
      <c r="A48" s="180"/>
      <c r="B48" s="85">
        <v>2009</v>
      </c>
      <c r="C48" s="138"/>
      <c r="D48" s="181">
        <f>IF('[1]Annual Parameters Source'!D48="","-",'[1]Annual Parameters Source'!D48/VLOOKUP($B$14,'[1]Annual Parameters Source'!$B$29:$D$139,3,1)*100)</f>
        <v>98.482157274342015</v>
      </c>
      <c r="E48" s="182">
        <f>IF('[1]Annual Parameters Source'!E48="","-",'[1]Annual Parameters Source'!E48)</f>
        <v>1628583</v>
      </c>
      <c r="F48" s="183">
        <f>IF('[1]Annual Parameters Source'!F48="","-",'[1]Annual Parameters Source'!F48)</f>
        <v>-4.3277376087676798</v>
      </c>
      <c r="G48" s="184">
        <f>IF('[1]Annual Parameters Source'!G48="","-",'[1]Annual Parameters Source'!G48)</f>
        <v>145.46283584929088</v>
      </c>
      <c r="H48" s="182">
        <f>IF('[1]Annual Parameters Source'!H48="","-",'[1]Annual Parameters Source'!H48)</f>
        <v>62260.5</v>
      </c>
      <c r="I48" s="183">
        <f>IF('[1]Annual Parameters Source'!I48="","-",'[1]Annual Parameters Source'!I48)</f>
        <v>0.70636227472267488</v>
      </c>
      <c r="J48" s="184">
        <f>IF('[1]Annual Parameters Source'!J48="","-",'[1]Annual Parameters Source'!J48)</f>
        <v>108.77571522166414</v>
      </c>
      <c r="K48" s="182">
        <f>IF('[1]Annual Parameters Source'!K48="","-",'[1]Annual Parameters Source'!K48)</f>
        <v>26042</v>
      </c>
      <c r="L48" s="183">
        <f>IF('[1]Annual Parameters Source'!L48="","-",'[1]Annual Parameters Source'!L48)</f>
        <v>0.6454106280193237</v>
      </c>
      <c r="M48" s="184">
        <f>IF('[1]Annual Parameters Source'!M48="","-",'[1]Annual Parameters Source'!M48)</f>
        <v>109.7059566939085</v>
      </c>
      <c r="N48" s="182">
        <f>IF('[1]Annual Parameters Source'!N48="","-",'[1]Annual Parameters Source'!N48)</f>
        <v>26157.563784421905</v>
      </c>
      <c r="O48" s="183">
        <f>IF('[1]Annual Parameters Source'!O48="","-",'[1]Annual Parameters Source'!O48)</f>
        <v>-4.9987903145161212</v>
      </c>
      <c r="P48" s="184">
        <f>IF('[1]Annual Parameters Source'!P48="","-",'[1]Annual Parameters Source'!P48)</f>
        <v>133.72730811547908</v>
      </c>
      <c r="Q48" s="182">
        <f>IF('[1]Annual Parameters Source'!Q48="","-",'[1]Annual Parameters Source'!Q48)</f>
        <v>62536.786729129868</v>
      </c>
      <c r="R48" s="183">
        <f>IF('[1]Annual Parameters Source'!R48="","-",'[1]Annual Parameters Source'!R48)</f>
        <v>-4.9412568399840096</v>
      </c>
      <c r="S48" s="184">
        <f>IF('[1]Annual Parameters Source'!S48="","-",'[1]Annual Parameters Source'!S48)</f>
        <v>119.36057738394469</v>
      </c>
      <c r="T48" s="183">
        <f>IF('[1]Annual Parameters Source'!T48="","-",'[1]Annual Parameters Source'!T48)</f>
        <v>-4.9987903145161212</v>
      </c>
      <c r="U48" s="183">
        <f>IF('[1]Annual Parameters Source'!U48="","-",'[1]Annual Parameters Source'!U48)</f>
        <v>-4.9987903145161212</v>
      </c>
      <c r="V48" s="185">
        <f>IF('[1]Annual Parameters Source'!V48="","-",'[1]Annual Parameters Source'!V48)</f>
        <v>104.09590305396476</v>
      </c>
      <c r="W48" s="186">
        <f>IF('[1]Annual Parameters Source'!W48="","-",'[1]Annual Parameters Source'!W48)</f>
        <v>104.09590305396476</v>
      </c>
      <c r="Z48" s="187"/>
    </row>
    <row r="49" spans="1:26" ht="13.5" customHeight="1" x14ac:dyDescent="0.25">
      <c r="A49" s="180"/>
      <c r="B49" s="85">
        <v>2010</v>
      </c>
      <c r="C49" s="138"/>
      <c r="D49" s="181">
        <f>IF('[1]Annual Parameters Source'!D49="","-",'[1]Annual Parameters Source'!D49/VLOOKUP($B$14,'[1]Annual Parameters Source'!$B$29:$D$139,3,1)*100)</f>
        <v>100</v>
      </c>
      <c r="E49" s="182">
        <f>IF('[1]Annual Parameters Source'!E49="","-",'[1]Annual Parameters Source'!E49)</f>
        <v>1659772</v>
      </c>
      <c r="F49" s="183">
        <f>IF('[1]Annual Parameters Source'!F49="","-",'[1]Annual Parameters Source'!F49)</f>
        <v>1.915100427795206</v>
      </c>
      <c r="G49" s="184">
        <f>IF('[1]Annual Parameters Source'!G49="","-",'[1]Annual Parameters Source'!G49)</f>
        <v>148.24859524092369</v>
      </c>
      <c r="H49" s="182">
        <f>IF('[1]Annual Parameters Source'!H49="","-",'[1]Annual Parameters Source'!H49)</f>
        <v>62759.5</v>
      </c>
      <c r="I49" s="183">
        <f>IF('[1]Annual Parameters Source'!I49="","-",'[1]Annual Parameters Source'!I49)</f>
        <v>0.80147123778318508</v>
      </c>
      <c r="J49" s="184">
        <f>IF('[1]Annual Parameters Source'!J49="","-",'[1]Annual Parameters Source'!J49)</f>
        <v>109.64752129285873</v>
      </c>
      <c r="K49" s="182">
        <f>IF('[1]Annual Parameters Source'!K49="","-",'[1]Annual Parameters Source'!K49)</f>
        <v>26240</v>
      </c>
      <c r="L49" s="183">
        <f>IF('[1]Annual Parameters Source'!L49="","-",'[1]Annual Parameters Source'!L49)</f>
        <v>0.76031026802856916</v>
      </c>
      <c r="M49" s="184">
        <f>IF('[1]Annual Parameters Source'!M49="","-",'[1]Annual Parameters Source'!M49)</f>
        <v>110.54006234729128</v>
      </c>
      <c r="N49" s="182">
        <f>IF('[1]Annual Parameters Source'!N49="","-",'[1]Annual Parameters Source'!N49)</f>
        <v>26446.545941251923</v>
      </c>
      <c r="O49" s="183">
        <f>IF('[1]Annual Parameters Source'!O49="","-",'[1]Annual Parameters Source'!O49)</f>
        <v>1.1047747382427087</v>
      </c>
      <c r="P49" s="184">
        <f>IF('[1]Annual Parameters Source'!P49="","-",'[1]Annual Parameters Source'!P49)</f>
        <v>135.2046936336709</v>
      </c>
      <c r="Q49" s="182">
        <f>IF('[1]Annual Parameters Source'!Q49="","-",'[1]Annual Parameters Source'!Q49)</f>
        <v>63253.506097560974</v>
      </c>
      <c r="R49" s="183">
        <f>IF('[1]Annual Parameters Source'!R49="","-",'[1]Annual Parameters Source'!R49)</f>
        <v>1.1460764230427856</v>
      </c>
      <c r="S49" s="184">
        <f>IF('[1]Annual Parameters Source'!S49="","-",'[1]Annual Parameters Source'!S49)</f>
        <v>120.72854081974981</v>
      </c>
      <c r="T49" s="183">
        <f>IF('[1]Annual Parameters Source'!T49="","-",'[1]Annual Parameters Source'!T49)</f>
        <v>1.1047747382427087</v>
      </c>
      <c r="U49" s="183">
        <f>IF('[1]Annual Parameters Source'!U49="","-",'[1]Annual Parameters Source'!U49)</f>
        <v>1.1047747382427087</v>
      </c>
      <c r="V49" s="185">
        <f>IF('[1]Annual Parameters Source'!V49="","-",'[1]Annual Parameters Source'!V49)</f>
        <v>105.24592829445058</v>
      </c>
      <c r="W49" s="186">
        <f>IF('[1]Annual Parameters Source'!W49="","-",'[1]Annual Parameters Source'!W49)</f>
        <v>105.24592829445058</v>
      </c>
      <c r="Z49" s="187"/>
    </row>
    <row r="50" spans="1:26" ht="13.5" customHeight="1" x14ac:dyDescent="0.25">
      <c r="A50" s="180"/>
      <c r="B50" s="85">
        <v>2011</v>
      </c>
      <c r="C50" s="138"/>
      <c r="D50" s="181">
        <f>IF('[1]Annual Parameters Source'!D50="","-",'[1]Annual Parameters Source'!D50/VLOOKUP($B$14,'[1]Annual Parameters Source'!$B$29:$D$139,3,1)*100)</f>
        <v>102.01237956832982</v>
      </c>
      <c r="E50" s="182">
        <f>IF('[1]Annual Parameters Source'!E50="","-",'[1]Annual Parameters Source'!E50)</f>
        <v>1684820</v>
      </c>
      <c r="F50" s="183">
        <f>IF('[1]Annual Parameters Source'!F50="","-",'[1]Annual Parameters Source'!F50)</f>
        <v>1.5091229397772707</v>
      </c>
      <c r="G50" s="184">
        <f>IF('[1]Annual Parameters Source'!G50="","-",'[1]Annual Parameters Source'!G50)</f>
        <v>150.48584879960202</v>
      </c>
      <c r="H50" s="182">
        <f>IF('[1]Annual Parameters Source'!H50="","-",'[1]Annual Parameters Source'!H50)</f>
        <v>63285.1</v>
      </c>
      <c r="I50" s="183">
        <f>IF('[1]Annual Parameters Source'!I50="","-",'[1]Annual Parameters Source'!I50)</f>
        <v>0.83748277153259443</v>
      </c>
      <c r="J50" s="184">
        <f>IF('[1]Annual Parameters Source'!J50="","-",'[1]Annual Parameters Source'!J50)</f>
        <v>110.56580039309894</v>
      </c>
      <c r="K50" s="182">
        <f>IF('[1]Annual Parameters Source'!K50="","-",'[1]Annual Parameters Source'!K50)</f>
        <v>26409</v>
      </c>
      <c r="L50" s="183">
        <f>IF('[1]Annual Parameters Source'!L50="","-",'[1]Annual Parameters Source'!L50)</f>
        <v>0.64405487804878048</v>
      </c>
      <c r="M50" s="184">
        <f>IF('[1]Annual Parameters Source'!M50="","-",'[1]Annual Parameters Source'!M50)</f>
        <v>111.25200101103718</v>
      </c>
      <c r="N50" s="182">
        <f>IF('[1]Annual Parameters Source'!N50="","-",'[1]Annual Parameters Source'!N50)</f>
        <v>26622.696337684542</v>
      </c>
      <c r="O50" s="183">
        <f>IF('[1]Annual Parameters Source'!O50="","-",'[1]Annual Parameters Source'!O50)</f>
        <v>0.66606201363277329</v>
      </c>
      <c r="P50" s="184">
        <f>IF('[1]Annual Parameters Source'!P50="","-",'[1]Annual Parameters Source'!P50)</f>
        <v>136.10524073861333</v>
      </c>
      <c r="Q50" s="182">
        <f>IF('[1]Annual Parameters Source'!Q50="","-",'[1]Annual Parameters Source'!Q50)</f>
        <v>63797.190351774014</v>
      </c>
      <c r="R50" s="183">
        <f>IF('[1]Annual Parameters Source'!R50="","-",'[1]Annual Parameters Source'!R50)</f>
        <v>0.85953220264893826</v>
      </c>
      <c r="S50" s="184">
        <f>IF('[1]Annual Parameters Source'!S50="","-",'[1]Annual Parameters Source'!S50)</f>
        <v>121.76624150588371</v>
      </c>
      <c r="T50" s="183">
        <f>IF('[1]Annual Parameters Source'!T50="","-",'[1]Annual Parameters Source'!T50)</f>
        <v>0.66606201363277329</v>
      </c>
      <c r="U50" s="183">
        <f>IF('[1]Annual Parameters Source'!U50="","-",'[1]Annual Parameters Source'!U50)</f>
        <v>0.66606201363277329</v>
      </c>
      <c r="V50" s="185">
        <f>IF('[1]Annual Parameters Source'!V50="","-",'[1]Annual Parameters Source'!V50)</f>
        <v>105.9469314437151</v>
      </c>
      <c r="W50" s="186">
        <f>IF('[1]Annual Parameters Source'!W50="","-",'[1]Annual Parameters Source'!W50)</f>
        <v>105.9469314437151</v>
      </c>
    </row>
    <row r="51" spans="1:26" ht="13.5" customHeight="1" x14ac:dyDescent="0.25">
      <c r="A51" s="180"/>
      <c r="B51" s="85">
        <v>2012</v>
      </c>
      <c r="C51" s="138"/>
      <c r="D51" s="181">
        <f>IF('[1]Annual Parameters Source'!D51="","-",'[1]Annual Parameters Source'!D51/VLOOKUP($B$14,'[1]Annual Parameters Source'!$B$29:$D$139,3,1)*100)</f>
        <v>103.57877173152484</v>
      </c>
      <c r="E51" s="182">
        <f>IF('[1]Annual Parameters Source'!E51="","-",'[1]Annual Parameters Source'!E51)</f>
        <v>1706942</v>
      </c>
      <c r="F51" s="183">
        <f>IF('[1]Annual Parameters Source'!F51="","-",'[1]Annual Parameters Source'!F51)</f>
        <v>1.3130186013936207</v>
      </c>
      <c r="G51" s="184">
        <f>IF('[1]Annual Parameters Source'!G51="","-",'[1]Annual Parameters Source'!G51)</f>
        <v>152.46175598680588</v>
      </c>
      <c r="H51" s="182">
        <f>IF('[1]Annual Parameters Source'!H51="","-",'[1]Annual Parameters Source'!H51)</f>
        <v>63705</v>
      </c>
      <c r="I51" s="183">
        <f>IF('[1]Annual Parameters Source'!I51="","-",'[1]Annual Parameters Source'!I51)</f>
        <v>0.66350531167684246</v>
      </c>
      <c r="J51" s="184">
        <f>IF('[1]Annual Parameters Source'!J51="","-",'[1]Annual Parameters Source'!J51)</f>
        <v>111.29941035160516</v>
      </c>
      <c r="K51" s="182">
        <f>IF('[1]Annual Parameters Source'!K51="","-",'[1]Annual Parameters Source'!K51)</f>
        <v>26614</v>
      </c>
      <c r="L51" s="183">
        <f>IF('[1]Annual Parameters Source'!L51="","-",'[1]Annual Parameters Source'!L51)</f>
        <v>0.776250520655837</v>
      </c>
      <c r="M51" s="184">
        <f>IF('[1]Annual Parameters Source'!M51="","-",'[1]Annual Parameters Source'!M51)</f>
        <v>112.11559524812539</v>
      </c>
      <c r="N51" s="182">
        <f>IF('[1]Annual Parameters Source'!N51="","-",'[1]Annual Parameters Source'!N51)</f>
        <v>26794.47453104152</v>
      </c>
      <c r="O51" s="183">
        <f>IF('[1]Annual Parameters Source'!O51="","-",'[1]Annual Parameters Source'!O51)</f>
        <v>0.64523214019394093</v>
      </c>
      <c r="P51" s="184">
        <f>IF('[1]Annual Parameters Source'!P51="","-",'[1]Annual Parameters Source'!P51)</f>
        <v>136.9834354963472</v>
      </c>
      <c r="Q51" s="182">
        <f>IF('[1]Annual Parameters Source'!Q51="","-",'[1]Annual Parameters Source'!Q51)</f>
        <v>64136.995566243328</v>
      </c>
      <c r="R51" s="183">
        <f>IF('[1]Annual Parameters Source'!R51="","-",'[1]Annual Parameters Source'!R51)</f>
        <v>0.53263351034058548</v>
      </c>
      <c r="S51" s="184">
        <f>IF('[1]Annual Parameters Source'!S51="","-",'[1]Annual Parameters Source'!S51)</f>
        <v>122.4148093124263</v>
      </c>
      <c r="T51" s="183">
        <f>IF('[1]Annual Parameters Source'!T51="","-",'[1]Annual Parameters Source'!T51)</f>
        <v>0.64523214019394093</v>
      </c>
      <c r="U51" s="183">
        <f>IF('[1]Annual Parameters Source'!U51="","-",'[1]Annual Parameters Source'!U51)</f>
        <v>0.64523214019394093</v>
      </c>
      <c r="V51" s="185">
        <f>IF('[1]Annual Parameters Source'!V51="","-",'[1]Annual Parameters Source'!V51)</f>
        <v>106.6305350969392</v>
      </c>
      <c r="W51" s="186">
        <f>IF('[1]Annual Parameters Source'!W51="","-",'[1]Annual Parameters Source'!W51)</f>
        <v>106.6305350969392</v>
      </c>
    </row>
    <row r="52" spans="1:26" ht="13.5" customHeight="1" x14ac:dyDescent="0.25">
      <c r="A52" s="180"/>
      <c r="B52" s="85">
        <v>2013</v>
      </c>
      <c r="C52" s="138"/>
      <c r="D52" s="181">
        <f>IF('[1]Annual Parameters Source'!D52="","-",'[1]Annual Parameters Source'!D52/VLOOKUP($B$14,'[1]Annual Parameters Source'!$B$29:$D$139,3,1)*100)</f>
        <v>105.55272081382208</v>
      </c>
      <c r="E52" s="182">
        <f>IF('[1]Annual Parameters Source'!E52="","-",'[1]Annual Parameters Source'!E52)</f>
        <v>1739563</v>
      </c>
      <c r="F52" s="183">
        <f>IF('[1]Annual Parameters Source'!F52="","-",'[1]Annual Parameters Source'!F52)</f>
        <v>1.9110784080537007</v>
      </c>
      <c r="G52" s="184">
        <f>IF('[1]Annual Parameters Source'!G52="","-",'[1]Annual Parameters Source'!G52)</f>
        <v>155.37541968600925</v>
      </c>
      <c r="H52" s="182">
        <f>IF('[1]Annual Parameters Source'!H52="","-",'[1]Annual Parameters Source'!H52)</f>
        <v>64105.7</v>
      </c>
      <c r="I52" s="183">
        <f>IF('[1]Annual Parameters Source'!I52="","-",'[1]Annual Parameters Source'!I52)</f>
        <v>0.6289930146770224</v>
      </c>
      <c r="J52" s="184">
        <f>IF('[1]Annual Parameters Source'!J52="","-",'[1]Annual Parameters Source'!J52)</f>
        <v>111.99947586809347</v>
      </c>
      <c r="K52" s="182">
        <f>IF('[1]Annual Parameters Source'!K52="","-",'[1]Annual Parameters Source'!K52)</f>
        <v>26654</v>
      </c>
      <c r="L52" s="183">
        <f>IF('[1]Annual Parameters Source'!L52="","-",'[1]Annual Parameters Source'!L52)</f>
        <v>0.1502968362515969</v>
      </c>
      <c r="M52" s="184">
        <f>IF('[1]Annual Parameters Source'!M52="","-",'[1]Annual Parameters Source'!M52)</f>
        <v>112.28410144072797</v>
      </c>
      <c r="N52" s="182">
        <f>IF('[1]Annual Parameters Source'!N52="","-",'[1]Annual Parameters Source'!N52)</f>
        <v>27135.855313958044</v>
      </c>
      <c r="O52" s="183">
        <f>IF('[1]Annual Parameters Source'!O52="","-",'[1]Annual Parameters Source'!O52)</f>
        <v>1.2740715721856422</v>
      </c>
      <c r="P52" s="184">
        <f>IF('[1]Annual Parameters Source'!P52="","-",'[1]Annual Parameters Source'!P52)</f>
        <v>138.72870250660944</v>
      </c>
      <c r="Q52" s="182">
        <f>IF('[1]Annual Parameters Source'!Q52="","-",'[1]Annual Parameters Source'!Q52)</f>
        <v>65264.613191265853</v>
      </c>
      <c r="R52" s="183">
        <f>IF('[1]Annual Parameters Source'!R52="","-",'[1]Annual Parameters Source'!R52)</f>
        <v>1.7581391442913263</v>
      </c>
      <c r="S52" s="184">
        <f>IF('[1]Annual Parameters Source'!S52="","-",'[1]Annual Parameters Source'!S52)</f>
        <v>124.56703199335765</v>
      </c>
      <c r="T52" s="183">
        <f>IF('[1]Annual Parameters Source'!T52="","-",'[1]Annual Parameters Source'!T52)</f>
        <v>1.2740715721856422</v>
      </c>
      <c r="U52" s="183">
        <f>IF('[1]Annual Parameters Source'!U52="","-",'[1]Annual Parameters Source'!U52)</f>
        <v>1.2740715721856422</v>
      </c>
      <c r="V52" s="185">
        <f>IF('[1]Annual Parameters Source'!V52="","-",'[1]Annual Parameters Source'!V52)</f>
        <v>107.98908443187874</v>
      </c>
      <c r="W52" s="186">
        <f>IF('[1]Annual Parameters Source'!W52="","-",'[1]Annual Parameters Source'!W52)</f>
        <v>107.98908443187874</v>
      </c>
    </row>
    <row r="53" spans="1:26" ht="13.5" customHeight="1" x14ac:dyDescent="0.25">
      <c r="A53" s="180"/>
      <c r="B53" s="85">
        <v>2014</v>
      </c>
      <c r="C53" s="138"/>
      <c r="D53" s="181">
        <f>IF('[1]Annual Parameters Source'!D53="","-",'[1]Annual Parameters Source'!D53/VLOOKUP($B$14,'[1]Annual Parameters Source'!$B$29:$D$139,3,1)*100)</f>
        <v>107.28962807470801</v>
      </c>
      <c r="E53" s="182">
        <f>IF('[1]Annual Parameters Source'!E53="","-",'[1]Annual Parameters Source'!E53)</f>
        <v>1792976</v>
      </c>
      <c r="F53" s="183">
        <f>IF('[1]Annual Parameters Source'!F53="","-",'[1]Annual Parameters Source'!F53)</f>
        <v>3.0704837939183576</v>
      </c>
      <c r="G53" s="184">
        <f>IF('[1]Annual Parameters Source'!G53="","-",'[1]Annual Parameters Source'!G53)</f>
        <v>160.14619676720079</v>
      </c>
      <c r="H53" s="182">
        <f>IF('[1]Annual Parameters Source'!H53="","-",'[1]Annual Parameters Source'!H53)</f>
        <v>64596.800000000003</v>
      </c>
      <c r="I53" s="183">
        <f>IF('[1]Annual Parameters Source'!I53="","-",'[1]Annual Parameters Source'!I53)</f>
        <v>0.76607852343864247</v>
      </c>
      <c r="J53" s="184">
        <f>IF('[1]Annual Parameters Source'!J53="","-",'[1]Annual Parameters Source'!J53)</f>
        <v>112.85747979908278</v>
      </c>
      <c r="K53" s="182">
        <f>IF('[1]Annual Parameters Source'!K53="","-",'[1]Annual Parameters Source'!K53)</f>
        <v>26703</v>
      </c>
      <c r="L53" s="183">
        <f>IF('[1]Annual Parameters Source'!L53="","-",'[1]Annual Parameters Source'!L53)</f>
        <v>0.18383732272829595</v>
      </c>
      <c r="M53" s="184">
        <f>IF('[1]Annual Parameters Source'!M53="","-",'[1]Annual Parameters Source'!M53)</f>
        <v>112.49052152666613</v>
      </c>
      <c r="N53" s="182">
        <f>IF('[1]Annual Parameters Source'!N53="","-",'[1]Annual Parameters Source'!N53)</f>
        <v>27756.421370718053</v>
      </c>
      <c r="O53" s="183">
        <f>IF('[1]Annual Parameters Source'!O53="","-",'[1]Annual Parameters Source'!O53)</f>
        <v>2.2868859285257281</v>
      </c>
      <c r="P53" s="184">
        <f>IF('[1]Annual Parameters Source'!P53="","-",'[1]Annual Parameters Source'!P53)</f>
        <v>141.90126968305941</v>
      </c>
      <c r="Q53" s="182">
        <f>IF('[1]Annual Parameters Source'!Q53="","-",'[1]Annual Parameters Source'!Q53)</f>
        <v>67145.114781110737</v>
      </c>
      <c r="R53" s="183">
        <f>IF('[1]Annual Parameters Source'!R53="","-",'[1]Annual Parameters Source'!R53)</f>
        <v>2.8813494754559299</v>
      </c>
      <c r="S53" s="184">
        <f>IF('[1]Annual Parameters Source'!S53="","-",'[1]Annual Parameters Source'!S53)</f>
        <v>128.15624351628929</v>
      </c>
      <c r="T53" s="183">
        <f>IF('[1]Annual Parameters Source'!T53="","-",'[1]Annual Parameters Source'!T53)</f>
        <v>2.2868859285257281</v>
      </c>
      <c r="U53" s="183">
        <f>IF('[1]Annual Parameters Source'!U53="","-",'[1]Annual Parameters Source'!U53)</f>
        <v>2.2868859285257281</v>
      </c>
      <c r="V53" s="185">
        <f>IF('[1]Annual Parameters Source'!V53="","-",'[1]Annual Parameters Source'!V53)</f>
        <v>110.45867160809514</v>
      </c>
      <c r="W53" s="186">
        <f>IF('[1]Annual Parameters Source'!W53="","-",'[1]Annual Parameters Source'!W53)</f>
        <v>110.45867160809514</v>
      </c>
    </row>
    <row r="54" spans="1:26" ht="13.5" customHeight="1" x14ac:dyDescent="0.25">
      <c r="A54" s="180"/>
      <c r="B54" s="85">
        <v>2015</v>
      </c>
      <c r="C54" s="138"/>
      <c r="D54" s="181">
        <f>IF('[1]Annual Parameters Source'!D54="","-",'[1]Annual Parameters Source'!D54/VLOOKUP($B$14,'[1]Annual Parameters Source'!$B$29:$D$139,3,1)*100)</f>
        <v>107.64842025943268</v>
      </c>
      <c r="E54" s="182">
        <f>IF('[1]Annual Parameters Source'!E54="","-",'[1]Annual Parameters Source'!E54)</f>
        <v>1833233</v>
      </c>
      <c r="F54" s="183">
        <f>IF('[1]Annual Parameters Source'!F54="","-",'[1]Annual Parameters Source'!F54)</f>
        <v>2.2452615093565114</v>
      </c>
      <c r="G54" s="184">
        <f>IF('[1]Annual Parameters Source'!G54="","-",'[1]Annual Parameters Source'!G54)</f>
        <v>163.74189768191309</v>
      </c>
      <c r="H54" s="182">
        <f>IF('[1]Annual Parameters Source'!H54="","-",'[1]Annual Parameters Source'!H54)</f>
        <v>65110</v>
      </c>
      <c r="I54" s="183">
        <f>IF('[1]Annual Parameters Source'!I54="","-",'[1]Annual Parameters Source'!I54)</f>
        <v>0.79446659896464999</v>
      </c>
      <c r="J54" s="184">
        <f>IF('[1]Annual Parameters Source'!J54="","-",'[1]Annual Parameters Source'!J54)</f>
        <v>113.75409478051978</v>
      </c>
      <c r="K54" s="182">
        <f>IF('[1]Annual Parameters Source'!K54="","-",'[1]Annual Parameters Source'!K54)</f>
        <v>26994</v>
      </c>
      <c r="L54" s="183">
        <f>IF('[1]Annual Parameters Source'!L54="","-",'[1]Annual Parameters Source'!L54)</f>
        <v>1.0897651949219189</v>
      </c>
      <c r="M54" s="184">
        <f>IF('[1]Annual Parameters Source'!M54="","-",'[1]Annual Parameters Source'!M54)</f>
        <v>113.71640407784989</v>
      </c>
      <c r="N54" s="182">
        <f>IF('[1]Annual Parameters Source'!N54="","-",'[1]Annual Parameters Source'!N54)</f>
        <v>28155.936108124712</v>
      </c>
      <c r="O54" s="183">
        <f>IF('[1]Annual Parameters Source'!O54="","-",'[1]Annual Parameters Source'!O54)</f>
        <v>1.4393596785071461</v>
      </c>
      <c r="P54" s="184">
        <f>IF('[1]Annual Parameters Source'!P54="","-",'[1]Annual Parameters Source'!P54)</f>
        <v>143.94373934216705</v>
      </c>
      <c r="Q54" s="182">
        <f>IF('[1]Annual Parameters Source'!Q54="","-",'[1]Annual Parameters Source'!Q54)</f>
        <v>67912.610209676219</v>
      </c>
      <c r="R54" s="183">
        <f>IF('[1]Annual Parameters Source'!R54="","-",'[1]Annual Parameters Source'!R54)</f>
        <v>1.1430398638344386</v>
      </c>
      <c r="S54" s="184">
        <f>IF('[1]Annual Parameters Source'!S54="","-",'[1]Annual Parameters Source'!S54)</f>
        <v>129.62112046767322</v>
      </c>
      <c r="T54" s="183">
        <f>IF('[1]Annual Parameters Source'!T54="","-",'[1]Annual Parameters Source'!T54)</f>
        <v>1.4393596785071461</v>
      </c>
      <c r="U54" s="183">
        <f>IF('[1]Annual Parameters Source'!U54="","-",'[1]Annual Parameters Source'!U54)</f>
        <v>1.4393596785071461</v>
      </c>
      <c r="V54" s="185">
        <f>IF('[1]Annual Parameters Source'!V54="","-",'[1]Annual Parameters Source'!V54)</f>
        <v>112.04856918863669</v>
      </c>
      <c r="W54" s="186">
        <f>IF('[1]Annual Parameters Source'!W54="","-",'[1]Annual Parameters Source'!W54)</f>
        <v>112.04856918863669</v>
      </c>
    </row>
    <row r="55" spans="1:26" ht="13.5" customHeight="1" x14ac:dyDescent="0.25">
      <c r="A55" s="180"/>
      <c r="B55" s="85">
        <v>2016</v>
      </c>
      <c r="C55" s="138"/>
      <c r="D55" s="181">
        <f>IF('[1]Annual Parameters Source'!D55="","-",'[1]Annual Parameters Source'!D55/VLOOKUP($B$14,'[1]Annual Parameters Source'!$B$29:$D$139,3,1)*100)</f>
        <v>108.83255288228646</v>
      </c>
      <c r="E55" s="182" t="str">
        <f>IF('[1]Annual Parameters Source'!E55="","-",'[1]Annual Parameters Source'!E55)</f>
        <v>-</v>
      </c>
      <c r="F55" s="183">
        <f>IF('[1]Annual Parameters Source'!F55="","-",'[1]Annual Parameters Source'!F55)</f>
        <v>2</v>
      </c>
      <c r="G55" s="184">
        <f>IF('[1]Annual Parameters Source'!G55="","-",'[1]Annual Parameters Source'!G55)</f>
        <v>167.01673563555133</v>
      </c>
      <c r="H55" s="182" t="str">
        <f>IF('[1]Annual Parameters Source'!H55="","-",'[1]Annual Parameters Source'!H55)</f>
        <v>-</v>
      </c>
      <c r="I55" s="183">
        <f>IF('[1]Annual Parameters Source'!I55="","-",'[1]Annual Parameters Source'!I55)</f>
        <v>0.73015852000000003</v>
      </c>
      <c r="J55" s="184">
        <f>IF('[1]Annual Parameters Source'!J55="","-",'[1]Annual Parameters Source'!J55)</f>
        <v>114.58467999540862</v>
      </c>
      <c r="K55" s="182" t="str">
        <f>IF('[1]Annual Parameters Source'!K55="","-",'[1]Annual Parameters Source'!K55)</f>
        <v>-</v>
      </c>
      <c r="L55" s="183">
        <f>IF('[1]Annual Parameters Source'!L55="","-",'[1]Annual Parameters Source'!L55)</f>
        <v>0.97347306822808122</v>
      </c>
      <c r="M55" s="184">
        <f>IF('[1]Annual Parameters Source'!M55="","-",'[1]Annual Parameters Source'!M55)</f>
        <v>114.82340264570519</v>
      </c>
      <c r="N55" s="182" t="str">
        <f>IF('[1]Annual Parameters Source'!N55="","-",'[1]Annual Parameters Source'!N55)</f>
        <v>-</v>
      </c>
      <c r="O55" s="183">
        <f>IF('[1]Annual Parameters Source'!O55="","-",'[1]Annual Parameters Source'!O55)</f>
        <v>1.2606368327593431</v>
      </c>
      <c r="P55" s="184">
        <f>IF('[1]Annual Parameters Source'!P55="","-",'[1]Annual Parameters Source'!P55)</f>
        <v>145.75834713876552</v>
      </c>
      <c r="Q55" s="182" t="str">
        <f>IF('[1]Annual Parameters Source'!Q55="","-",'[1]Annual Parameters Source'!Q55)</f>
        <v>-</v>
      </c>
      <c r="R55" s="183">
        <f>IF('[1]Annual Parameters Source'!R55="","-",'[1]Annual Parameters Source'!R55)</f>
        <v>1.0166303095054285</v>
      </c>
      <c r="S55" s="184">
        <f>IF('[1]Annual Parameters Source'!S55="","-",'[1]Annual Parameters Source'!S55)</f>
        <v>130.93888806586813</v>
      </c>
      <c r="T55" s="183">
        <f>IF('[1]Annual Parameters Source'!T55="","-",'[1]Annual Parameters Source'!T55)</f>
        <v>1.2606368327593431</v>
      </c>
      <c r="U55" s="183">
        <f>IF('[1]Annual Parameters Source'!U55="","-",'[1]Annual Parameters Source'!U55)</f>
        <v>1.2606368327593431</v>
      </c>
      <c r="V55" s="185">
        <f>IF('[1]Annual Parameters Source'!V55="","-",'[1]Annual Parameters Source'!V55)</f>
        <v>113.46109472240848</v>
      </c>
      <c r="W55" s="186">
        <f>IF('[1]Annual Parameters Source'!W55="","-",'[1]Annual Parameters Source'!W55)</f>
        <v>113.46109472240848</v>
      </c>
    </row>
    <row r="56" spans="1:26" ht="13.5" customHeight="1" x14ac:dyDescent="0.25">
      <c r="A56" s="180"/>
      <c r="B56" s="85">
        <v>2017</v>
      </c>
      <c r="C56" s="138"/>
      <c r="D56" s="181">
        <f>IF('[1]Annual Parameters Source'!D56="","-",'[1]Annual Parameters Source'!D56/VLOOKUP($B$14,'[1]Annual Parameters Source'!$B$29:$D$139,3,1)*100)</f>
        <v>110.90037138704989</v>
      </c>
      <c r="E56" s="182" t="str">
        <f>IF('[1]Annual Parameters Source'!E56="","-",'[1]Annual Parameters Source'!E56)</f>
        <v>-</v>
      </c>
      <c r="F56" s="183">
        <f>IF('[1]Annual Parameters Source'!F56="","-",'[1]Annual Parameters Source'!F56)</f>
        <v>2.2000000000000002</v>
      </c>
      <c r="G56" s="184">
        <f>IF('[1]Annual Parameters Source'!G56="","-",'[1]Annual Parameters Source'!G56)</f>
        <v>170.69110381953345</v>
      </c>
      <c r="H56" s="182" t="str">
        <f>IF('[1]Annual Parameters Source'!H56="","-",'[1]Annual Parameters Source'!H56)</f>
        <v>-</v>
      </c>
      <c r="I56" s="183">
        <f>IF('[1]Annual Parameters Source'!I56="","-",'[1]Annual Parameters Source'!I56)</f>
        <v>0.69773096000000001</v>
      </c>
      <c r="J56" s="184">
        <f>IF('[1]Annual Parameters Source'!J56="","-",'[1]Annual Parameters Source'!J56)</f>
        <v>115.38417278315352</v>
      </c>
      <c r="K56" s="182" t="str">
        <f>IF('[1]Annual Parameters Source'!K56="","-",'[1]Annual Parameters Source'!K56)</f>
        <v>-</v>
      </c>
      <c r="L56" s="183">
        <f>IF('[1]Annual Parameters Source'!L56="","-",'[1]Annual Parameters Source'!L56)</f>
        <v>0.94183087361532358</v>
      </c>
      <c r="M56" s="184">
        <f>IF('[1]Annual Parameters Source'!M56="","-",'[1]Annual Parameters Source'!M56)</f>
        <v>115.90484490195806</v>
      </c>
      <c r="N56" s="182" t="str">
        <f>IF('[1]Annual Parameters Source'!N56="","-",'[1]Annual Parameters Source'!N56)</f>
        <v>-</v>
      </c>
      <c r="O56" s="183">
        <f>IF('[1]Annual Parameters Source'!O56="","-",'[1]Annual Parameters Source'!O56)</f>
        <v>1.4918598717946763</v>
      </c>
      <c r="P56" s="184">
        <f>IF('[1]Annual Parameters Source'!P56="","-",'[1]Annual Parameters Source'!P56)</f>
        <v>147.93285742951994</v>
      </c>
      <c r="Q56" s="182" t="str">
        <f>IF('[1]Annual Parameters Source'!Q56="","-",'[1]Annual Parameters Source'!Q56)</f>
        <v>-</v>
      </c>
      <c r="R56" s="183">
        <f>IF('[1]Annual Parameters Source'!R56="","-",'[1]Annual Parameters Source'!R56)</f>
        <v>1.2464298650972427</v>
      </c>
      <c r="S56" s="184">
        <f>IF('[1]Annual Parameters Source'!S56="","-",'[1]Annual Parameters Source'!S56)</f>
        <v>132.57094947174735</v>
      </c>
      <c r="T56" s="183">
        <f>IF('[1]Annual Parameters Source'!T56="","-",'[1]Annual Parameters Source'!T56)</f>
        <v>1.4918598717946763</v>
      </c>
      <c r="U56" s="183">
        <f>IF('[1]Annual Parameters Source'!U56="","-",'[1]Annual Parameters Source'!U56)</f>
        <v>1.4918598717946763</v>
      </c>
      <c r="V56" s="185">
        <f>IF('[1]Annual Parameters Source'!V56="","-",'[1]Annual Parameters Source'!V56)</f>
        <v>115.15377526467104</v>
      </c>
      <c r="W56" s="186">
        <f>IF('[1]Annual Parameters Source'!W56="","-",'[1]Annual Parameters Source'!W56)</f>
        <v>115.15377526467104</v>
      </c>
    </row>
    <row r="57" spans="1:26" ht="13.5" customHeight="1" x14ac:dyDescent="0.25">
      <c r="A57" s="180"/>
      <c r="B57" s="85">
        <v>2018</v>
      </c>
      <c r="C57" s="138"/>
      <c r="D57" s="181">
        <f>IF('[1]Annual Parameters Source'!D57="","-",'[1]Annual Parameters Source'!D57/VLOOKUP($B$14,'[1]Annual Parameters Source'!$B$29:$D$139,3,1)*100)</f>
        <v>113.11837881479087</v>
      </c>
      <c r="E57" s="182" t="str">
        <f>IF('[1]Annual Parameters Source'!E57="","-",'[1]Annual Parameters Source'!E57)</f>
        <v>-</v>
      </c>
      <c r="F57" s="183">
        <f>IF('[1]Annual Parameters Source'!F57="","-",'[1]Annual Parameters Source'!F57)</f>
        <v>2.1</v>
      </c>
      <c r="G57" s="184">
        <f>IF('[1]Annual Parameters Source'!G57="","-",'[1]Annual Parameters Source'!G57)</f>
        <v>174.27561699974365</v>
      </c>
      <c r="H57" s="182" t="str">
        <f>IF('[1]Annual Parameters Source'!H57="","-",'[1]Annual Parameters Source'!H57)</f>
        <v>-</v>
      </c>
      <c r="I57" s="183">
        <f>IF('[1]Annual Parameters Source'!I57="","-",'[1]Annual Parameters Source'!I57)</f>
        <v>0.69195593</v>
      </c>
      <c r="J57" s="184">
        <f>IF('[1]Annual Parameters Source'!J57="","-",'[1]Annual Parameters Source'!J57)</f>
        <v>116.18258040900801</v>
      </c>
      <c r="K57" s="182" t="str">
        <f>IF('[1]Annual Parameters Source'!K57="","-",'[1]Annual Parameters Source'!K57)</f>
        <v>-</v>
      </c>
      <c r="L57" s="183">
        <f>IF('[1]Annual Parameters Source'!L57="","-",'[1]Annual Parameters Source'!L57)</f>
        <v>0.92691736200709585</v>
      </c>
      <c r="M57" s="184">
        <f>IF('[1]Annual Parameters Source'!M57="","-",'[1]Annual Parameters Source'!M57)</f>
        <v>116.97918703276169</v>
      </c>
      <c r="N57" s="182" t="str">
        <f>IF('[1]Annual Parameters Source'!N57="","-",'[1]Annual Parameters Source'!N57)</f>
        <v>-</v>
      </c>
      <c r="O57" s="183">
        <f>IF('[1]Annual Parameters Source'!O57="","-",'[1]Annual Parameters Source'!O57)</f>
        <v>1.3983679798402537</v>
      </c>
      <c r="P57" s="184">
        <f>IF('[1]Annual Parameters Source'!P57="","-",'[1]Annual Parameters Source'!P57)</f>
        <v>150.00150313947708</v>
      </c>
      <c r="Q57" s="182" t="str">
        <f>IF('[1]Annual Parameters Source'!Q57="","-",'[1]Annual Parameters Source'!Q57)</f>
        <v>-</v>
      </c>
      <c r="R57" s="183">
        <f>IF('[1]Annual Parameters Source'!R57="","-",'[1]Annual Parameters Source'!R57)</f>
        <v>1.1623089941261711</v>
      </c>
      <c r="S57" s="184">
        <f>IF('[1]Annual Parameters Source'!S57="","-",'[1]Annual Parameters Source'!S57)</f>
        <v>134.11183354105594</v>
      </c>
      <c r="T57" s="183">
        <f>IF('[1]Annual Parameters Source'!T57="","-",'[1]Annual Parameters Source'!T57)</f>
        <v>1.3983679798402537</v>
      </c>
      <c r="U57" s="183">
        <f>IF('[1]Annual Parameters Source'!U57="","-",'[1]Annual Parameters Source'!U57)</f>
        <v>1.3983679798402537</v>
      </c>
      <c r="V57" s="185">
        <f>IF('[1]Annual Parameters Source'!V57="","-",'[1]Annual Parameters Source'!V57)</f>
        <v>116.76404878554941</v>
      </c>
      <c r="W57" s="186">
        <f>IF('[1]Annual Parameters Source'!W57="","-",'[1]Annual Parameters Source'!W57)</f>
        <v>116.76404878554941</v>
      </c>
    </row>
    <row r="58" spans="1:26" ht="13.5" customHeight="1" x14ac:dyDescent="0.25">
      <c r="A58" s="180"/>
      <c r="B58" s="85">
        <v>2019</v>
      </c>
      <c r="C58" s="138"/>
      <c r="D58" s="181">
        <f>IF('[1]Annual Parameters Source'!D58="","-",'[1]Annual Parameters Source'!D58/VLOOKUP($B$14,'[1]Annual Parameters Source'!$B$29:$D$139,3,1)*100)</f>
        <v>115.2676280122719</v>
      </c>
      <c r="E58" s="182" t="str">
        <f>IF('[1]Annual Parameters Source'!E58="","-",'[1]Annual Parameters Source'!E58)</f>
        <v>-</v>
      </c>
      <c r="F58" s="183">
        <f>IF('[1]Annual Parameters Source'!F58="","-",'[1]Annual Parameters Source'!F58)</f>
        <v>2.1</v>
      </c>
      <c r="G58" s="184">
        <f>IF('[1]Annual Parameters Source'!G58="","-",'[1]Annual Parameters Source'!G58)</f>
        <v>177.93540495673824</v>
      </c>
      <c r="H58" s="182" t="str">
        <f>IF('[1]Annual Parameters Source'!H58="","-",'[1]Annual Parameters Source'!H58)</f>
        <v>-</v>
      </c>
      <c r="I58" s="183">
        <f>IF('[1]Annual Parameters Source'!I58="","-",'[1]Annual Parameters Source'!I58)</f>
        <v>0.66319755000000002</v>
      </c>
      <c r="J58" s="184">
        <f>IF('[1]Annual Parameters Source'!J58="","-",'[1]Annual Parameters Source'!J58)</f>
        <v>116.95310043580734</v>
      </c>
      <c r="K58" s="182" t="str">
        <f>IF('[1]Annual Parameters Source'!K58="","-",'[1]Annual Parameters Source'!K58)</f>
        <v>-</v>
      </c>
      <c r="L58" s="183">
        <f>IF('[1]Annual Parameters Source'!L58="","-",'[1]Annual Parameters Source'!L58)</f>
        <v>0.91806475717624014</v>
      </c>
      <c r="M58" s="184">
        <f>IF('[1]Annual Parameters Source'!M58="","-",'[1]Annual Parameters Source'!M58)</f>
        <v>118.05313172214075</v>
      </c>
      <c r="N58" s="182" t="str">
        <f>IF('[1]Annual Parameters Source'!N58="","-",'[1]Annual Parameters Source'!N58)</f>
        <v>-</v>
      </c>
      <c r="O58" s="183">
        <f>IF('[1]Annual Parameters Source'!O58="","-",'[1]Annual Parameters Source'!O58)</f>
        <v>1.4273363900310532</v>
      </c>
      <c r="P58" s="184">
        <f>IF('[1]Annual Parameters Source'!P58="","-",'[1]Annual Parameters Source'!P58)</f>
        <v>152.1425291793804</v>
      </c>
      <c r="Q58" s="182" t="str">
        <f>IF('[1]Annual Parameters Source'!Q58="","-",'[1]Annual Parameters Source'!Q58)</f>
        <v>-</v>
      </c>
      <c r="R58" s="183">
        <f>IF('[1]Annual Parameters Source'!R58="","-",'[1]Annual Parameters Source'!R58)</f>
        <v>1.171183024236222</v>
      </c>
      <c r="S58" s="184">
        <f>IF('[1]Annual Parameters Source'!S58="","-",'[1]Annual Parameters Source'!S58)</f>
        <v>135.68252856898073</v>
      </c>
      <c r="T58" s="183">
        <f>IF('[1]Annual Parameters Source'!T58="","-",'[1]Annual Parameters Source'!T58)</f>
        <v>1.4273363900310532</v>
      </c>
      <c r="U58" s="183">
        <f>IF('[1]Annual Parameters Source'!U58="","-",'[1]Annual Parameters Source'!U58)</f>
        <v>1.4273363900310532</v>
      </c>
      <c r="V58" s="185">
        <f>IF('[1]Annual Parameters Source'!V58="","-",'[1]Annual Parameters Source'!V58)</f>
        <v>118.43066454433917</v>
      </c>
      <c r="W58" s="186">
        <f>IF('[1]Annual Parameters Source'!W58="","-",'[1]Annual Parameters Source'!W58)</f>
        <v>118.43066454433917</v>
      </c>
    </row>
    <row r="59" spans="1:26" ht="13.5" customHeight="1" x14ac:dyDescent="0.25">
      <c r="A59" s="180"/>
      <c r="B59" s="85">
        <v>2020</v>
      </c>
      <c r="C59" s="138"/>
      <c r="D59" s="181">
        <f>IF('[1]Annual Parameters Source'!D59="","-",'[1]Annual Parameters Source'!D59/VLOOKUP($B$14,'[1]Annual Parameters Source'!$B$29:$D$139,3,1)*100)</f>
        <v>117.57298057251735</v>
      </c>
      <c r="E59" s="182" t="str">
        <f>IF('[1]Annual Parameters Source'!E59="","-",'[1]Annual Parameters Source'!E59)</f>
        <v>-</v>
      </c>
      <c r="F59" s="183">
        <f>IF('[1]Annual Parameters Source'!F59="","-",'[1]Annual Parameters Source'!F59)</f>
        <v>2.1</v>
      </c>
      <c r="G59" s="184">
        <f>IF('[1]Annual Parameters Source'!G59="","-",'[1]Annual Parameters Source'!G59)</f>
        <v>181.67204846082973</v>
      </c>
      <c r="H59" s="182" t="str">
        <f>IF('[1]Annual Parameters Source'!H59="","-",'[1]Annual Parameters Source'!H59)</f>
        <v>-</v>
      </c>
      <c r="I59" s="183">
        <f>IF('[1]Annual Parameters Source'!I59="","-",'[1]Annual Parameters Source'!I59)</f>
        <v>0.64528525999999997</v>
      </c>
      <c r="J59" s="184">
        <f>IF('[1]Annual Parameters Source'!J59="","-",'[1]Annual Parameters Source'!J59)</f>
        <v>117.70778155403259</v>
      </c>
      <c r="K59" s="182" t="str">
        <f>IF('[1]Annual Parameters Source'!K59="","-",'[1]Annual Parameters Source'!K59)</f>
        <v>-</v>
      </c>
      <c r="L59" s="183">
        <f>IF('[1]Annual Parameters Source'!L59="","-",'[1]Annual Parameters Source'!L59)</f>
        <v>0.89606060947187149</v>
      </c>
      <c r="M59" s="184">
        <f>IF('[1]Annual Parameters Source'!M59="","-",'[1]Annual Parameters Source'!M59)</f>
        <v>119.1109593337508</v>
      </c>
      <c r="N59" s="182" t="str">
        <f>IF('[1]Annual Parameters Source'!N59="","-",'[1]Annual Parameters Source'!N59)</f>
        <v>-</v>
      </c>
      <c r="O59" s="183">
        <f>IF('[1]Annual Parameters Source'!O59="","-",'[1]Annual Parameters Source'!O59)</f>
        <v>1.4453878651563112</v>
      </c>
      <c r="P59" s="184">
        <f>IF('[1]Annual Parameters Source'!P59="","-",'[1]Annual Parameters Source'!P59)</f>
        <v>154.34157883388107</v>
      </c>
      <c r="Q59" s="182" t="str">
        <f>IF('[1]Annual Parameters Source'!Q59="","-",'[1]Annual Parameters Source'!Q59)</f>
        <v>-</v>
      </c>
      <c r="R59" s="183">
        <f>IF('[1]Annual Parameters Source'!R59="","-",'[1]Annual Parameters Source'!R59)</f>
        <v>1.1932471726404437</v>
      </c>
      <c r="S59" s="184">
        <f>IF('[1]Annual Parameters Source'!S59="","-",'[1]Annual Parameters Source'!S59)</f>
        <v>137.30155650489715</v>
      </c>
      <c r="T59" s="183">
        <f>IF('[1]Annual Parameters Source'!T59="","-",'[1]Annual Parameters Source'!T59)</f>
        <v>1.4453878651563112</v>
      </c>
      <c r="U59" s="183">
        <f>IF('[1]Annual Parameters Source'!U59="","-",'[1]Annual Parameters Source'!U59)</f>
        <v>1.4453878651563112</v>
      </c>
      <c r="V59" s="185">
        <f>IF('[1]Annual Parameters Source'!V59="","-",'[1]Annual Parameters Source'!V59)</f>
        <v>120.14244699828703</v>
      </c>
      <c r="W59" s="186">
        <f>IF('[1]Annual Parameters Source'!W59="","-",'[1]Annual Parameters Source'!W59)</f>
        <v>120.14244699828703</v>
      </c>
    </row>
    <row r="60" spans="1:26" ht="13.5" customHeight="1" x14ac:dyDescent="0.25">
      <c r="A60" s="180"/>
      <c r="B60" s="85">
        <v>2021</v>
      </c>
      <c r="C60" s="138"/>
      <c r="D60" s="181">
        <f>IF('[1]Annual Parameters Source'!D60="","-",'[1]Annual Parameters Source'!D60/VLOOKUP($B$14,'[1]Annual Parameters Source'!$B$29:$D$139,3,1)*100)</f>
        <v>120.0126199193971</v>
      </c>
      <c r="E60" s="182" t="str">
        <f>IF('[1]Annual Parameters Source'!E60="","-",'[1]Annual Parameters Source'!E60)</f>
        <v>-</v>
      </c>
      <c r="F60" s="183">
        <f>IF('[1]Annual Parameters Source'!F60="","-",'[1]Annual Parameters Source'!F60)</f>
        <v>2.4</v>
      </c>
      <c r="G60" s="184">
        <f>IF('[1]Annual Parameters Source'!G60="","-",'[1]Annual Parameters Source'!G60)</f>
        <v>186.03217762388965</v>
      </c>
      <c r="H60" s="182" t="str">
        <f>IF('[1]Annual Parameters Source'!H60="","-",'[1]Annual Parameters Source'!H60)</f>
        <v>-</v>
      </c>
      <c r="I60" s="183">
        <f>IF('[1]Annual Parameters Source'!I60="","-",'[1]Annual Parameters Source'!I60)</f>
        <v>0.63189705860819956</v>
      </c>
      <c r="J60" s="184">
        <f>IF('[1]Annual Parameters Source'!J60="","-",'[1]Annual Parameters Source'!J60)</f>
        <v>118.4515735634255</v>
      </c>
      <c r="K60" s="182" t="str">
        <f>IF('[1]Annual Parameters Source'!K60="","-",'[1]Annual Parameters Source'!K60)</f>
        <v>-</v>
      </c>
      <c r="L60" s="183">
        <f>IF('[1]Annual Parameters Source'!L60="","-",'[1]Annual Parameters Source'!L60)</f>
        <v>0.88887776644679395</v>
      </c>
      <c r="M60" s="184">
        <f>IF('[1]Annual Parameters Source'!M60="","-",'[1]Annual Parameters Source'!M60)</f>
        <v>120.16971016866999</v>
      </c>
      <c r="N60" s="182" t="str">
        <f>IF('[1]Annual Parameters Source'!N60="","-",'[1]Annual Parameters Source'!N60)</f>
        <v>-</v>
      </c>
      <c r="O60" s="183">
        <f>IF('[1]Annual Parameters Source'!O60="","-",'[1]Annual Parameters Source'!O60)</f>
        <v>1.7570005068691552</v>
      </c>
      <c r="P60" s="184">
        <f>IF('[1]Annual Parameters Source'!P60="","-",'[1]Annual Parameters Source'!P60)</f>
        <v>157.05336115630223</v>
      </c>
      <c r="Q60" s="182" t="str">
        <f>IF('[1]Annual Parameters Source'!Q60="","-",'[1]Annual Parameters Source'!Q60)</f>
        <v>-</v>
      </c>
      <c r="R60" s="183">
        <f>IF('[1]Annual Parameters Source'!R60="","-",'[1]Annual Parameters Source'!R60)</f>
        <v>1.4978085464003144</v>
      </c>
      <c r="S60" s="184">
        <f>IF('[1]Annual Parameters Source'!S60="","-",'[1]Annual Parameters Source'!S60)</f>
        <v>139.35807095256814</v>
      </c>
      <c r="T60" s="183">
        <f>IF('[1]Annual Parameters Source'!T60="","-",'[1]Annual Parameters Source'!T60)</f>
        <v>1.7570005068691552</v>
      </c>
      <c r="U60" s="183">
        <f>IF('[1]Annual Parameters Source'!U60="","-",'[1]Annual Parameters Source'!U60)</f>
        <v>1.7570005068691552</v>
      </c>
      <c r="V60" s="185">
        <f>IF('[1]Annual Parameters Source'!V60="","-",'[1]Annual Parameters Source'!V60)</f>
        <v>122.25335040101194</v>
      </c>
      <c r="W60" s="186">
        <f>IF('[1]Annual Parameters Source'!W60="","-",'[1]Annual Parameters Source'!W60)</f>
        <v>122.25335040101194</v>
      </c>
    </row>
    <row r="61" spans="1:26" ht="13.5" customHeight="1" x14ac:dyDescent="0.25">
      <c r="A61" s="180"/>
      <c r="B61" s="85">
        <v>2022</v>
      </c>
      <c r="C61" s="138"/>
      <c r="D61" s="181">
        <f>IF('[1]Annual Parameters Source'!D61="","-",'[1]Annual Parameters Source'!D61/VLOOKUP($B$14,'[1]Annual Parameters Source'!$B$29:$D$139,3,1)*100)</f>
        <v>122.59289124766413</v>
      </c>
      <c r="E61" s="182" t="str">
        <f>IF('[1]Annual Parameters Source'!E61="","-",'[1]Annual Parameters Source'!E61)</f>
        <v>-</v>
      </c>
      <c r="F61" s="183">
        <f>IF('[1]Annual Parameters Source'!F61="","-",'[1]Annual Parameters Source'!F61)</f>
        <v>2.4</v>
      </c>
      <c r="G61" s="184">
        <f>IF('[1]Annual Parameters Source'!G61="","-",'[1]Annual Parameters Source'!G61)</f>
        <v>190.49694988686301</v>
      </c>
      <c r="H61" s="182" t="str">
        <f>IF('[1]Annual Parameters Source'!H61="","-",'[1]Annual Parameters Source'!H61)</f>
        <v>-</v>
      </c>
      <c r="I61" s="183">
        <f>IF('[1]Annual Parameters Source'!I61="","-",'[1]Annual Parameters Source'!I61)</f>
        <v>0.62027707990350844</v>
      </c>
      <c r="J61" s="184">
        <f>IF('[1]Annual Parameters Source'!J61="","-",'[1]Annual Parameters Source'!J61)</f>
        <v>119.18630152502446</v>
      </c>
      <c r="K61" s="182" t="str">
        <f>IF('[1]Annual Parameters Source'!K61="","-",'[1]Annual Parameters Source'!K61)</f>
        <v>-</v>
      </c>
      <c r="L61" s="183">
        <f>IF('[1]Annual Parameters Source'!L61="","-",'[1]Annual Parameters Source'!L61)</f>
        <v>0.85967613754045491</v>
      </c>
      <c r="M61" s="184">
        <f>IF('[1]Annual Parameters Source'!M61="","-",'[1]Annual Parameters Source'!M61)</f>
        <v>121.20278049154157</v>
      </c>
      <c r="N61" s="182" t="str">
        <f>IF('[1]Annual Parameters Source'!N61="","-",'[1]Annual Parameters Source'!N61)</f>
        <v>-</v>
      </c>
      <c r="O61" s="183">
        <f>IF('[1]Annual Parameters Source'!O61="","-",'[1]Annual Parameters Source'!O61)</f>
        <v>1.7687517583391266</v>
      </c>
      <c r="P61" s="184">
        <f>IF('[1]Annual Parameters Source'!P61="","-",'[1]Annual Parameters Source'!P61)</f>
        <v>159.83124524328503</v>
      </c>
      <c r="Q61" s="182" t="str">
        <f>IF('[1]Annual Parameters Source'!Q61="","-",'[1]Annual Parameters Source'!Q61)</f>
        <v>-</v>
      </c>
      <c r="R61" s="183">
        <f>IF('[1]Annual Parameters Source'!R61="","-",'[1]Annual Parameters Source'!R61)</f>
        <v>1.5271949320549316</v>
      </c>
      <c r="S61" s="184">
        <f>IF('[1]Annual Parameters Source'!S61="","-",'[1]Annual Parameters Source'!S61)</f>
        <v>141.48634034956527</v>
      </c>
      <c r="T61" s="183">
        <f>IF('[1]Annual Parameters Source'!T61="","-",'[1]Annual Parameters Source'!T61)</f>
        <v>1.7687517583391266</v>
      </c>
      <c r="U61" s="183">
        <f>IF('[1]Annual Parameters Source'!U61="","-",'[1]Annual Parameters Source'!U61)</f>
        <v>1.7687517583391266</v>
      </c>
      <c r="V61" s="185">
        <f>IF('[1]Annual Parameters Source'!V61="","-",'[1]Annual Parameters Source'!V61)</f>
        <v>124.41570868585833</v>
      </c>
      <c r="W61" s="186">
        <f>IF('[1]Annual Parameters Source'!W61="","-",'[1]Annual Parameters Source'!W61)</f>
        <v>124.41570868585833</v>
      </c>
    </row>
    <row r="62" spans="1:26" ht="13.5" customHeight="1" x14ac:dyDescent="0.25">
      <c r="A62" s="180"/>
      <c r="B62" s="85">
        <v>2023</v>
      </c>
      <c r="C62" s="138"/>
      <c r="D62" s="181">
        <f>IF('[1]Annual Parameters Source'!D62="","-",'[1]Annual Parameters Source'!D62/VLOOKUP($B$14,'[1]Annual Parameters Source'!$B$29:$D$139,3,1)*100)</f>
        <v>125.32058307792467</v>
      </c>
      <c r="E62" s="182" t="str">
        <f>IF('[1]Annual Parameters Source'!E62="","-",'[1]Annual Parameters Source'!E62)</f>
        <v>-</v>
      </c>
      <c r="F62" s="183">
        <f>IF('[1]Annual Parameters Source'!F62="","-",'[1]Annual Parameters Source'!F62)</f>
        <v>2.4</v>
      </c>
      <c r="G62" s="184">
        <f>IF('[1]Annual Parameters Source'!G62="","-",'[1]Annual Parameters Source'!G62)</f>
        <v>195.06887668414774</v>
      </c>
      <c r="H62" s="182" t="str">
        <f>IF('[1]Annual Parameters Source'!H62="","-",'[1]Annual Parameters Source'!H62)</f>
        <v>-</v>
      </c>
      <c r="I62" s="183">
        <f>IF('[1]Annual Parameters Source'!I62="","-",'[1]Annual Parameters Source'!I62)</f>
        <v>0.60745366598906614</v>
      </c>
      <c r="J62" s="184">
        <f>IF('[1]Annual Parameters Source'!J62="","-",'[1]Annual Parameters Source'!J62)</f>
        <v>119.91030308299501</v>
      </c>
      <c r="K62" s="182" t="str">
        <f>IF('[1]Annual Parameters Source'!K62="","-",'[1]Annual Parameters Source'!K62)</f>
        <v>-</v>
      </c>
      <c r="L62" s="183">
        <f>IF('[1]Annual Parameters Source'!L62="","-",'[1]Annual Parameters Source'!L62)</f>
        <v>0.84332080461051451</v>
      </c>
      <c r="M62" s="184">
        <f>IF('[1]Annual Parameters Source'!M62="","-",'[1]Annual Parameters Source'!M62)</f>
        <v>122.22490875519316</v>
      </c>
      <c r="N62" s="182" t="str">
        <f>IF('[1]Annual Parameters Source'!N62="","-",'[1]Annual Parameters Source'!N62)</f>
        <v>-</v>
      </c>
      <c r="O62" s="183">
        <f>IF('[1]Annual Parameters Source'!O62="","-",'[1]Annual Parameters Source'!O62)</f>
        <v>1.7817231911684051</v>
      </c>
      <c r="P62" s="184">
        <f>IF('[1]Annual Parameters Source'!P62="","-",'[1]Annual Parameters Source'!P62)</f>
        <v>162.6789956065179</v>
      </c>
      <c r="Q62" s="182" t="str">
        <f>IF('[1]Annual Parameters Source'!Q62="","-",'[1]Annual Parameters Source'!Q62)</f>
        <v>-</v>
      </c>
      <c r="R62" s="183">
        <f>IF('[1]Annual Parameters Source'!R62="","-",'[1]Annual Parameters Source'!R62)</f>
        <v>1.5436611795099919</v>
      </c>
      <c r="S62" s="184">
        <f>IF('[1]Annual Parameters Source'!S62="","-",'[1]Annual Parameters Source'!S62)</f>
        <v>143.67041005985089</v>
      </c>
      <c r="T62" s="183">
        <f>IF('[1]Annual Parameters Source'!T62="","-",'[1]Annual Parameters Source'!T62)</f>
        <v>1.7817231911684051</v>
      </c>
      <c r="U62" s="183">
        <f>IF('[1]Annual Parameters Source'!U62="","-",'[1]Annual Parameters Source'!U62)</f>
        <v>1.7817231911684051</v>
      </c>
      <c r="V62" s="185">
        <f>IF('[1]Annual Parameters Source'!V62="","-",'[1]Annual Parameters Source'!V62)</f>
        <v>126.63245222097079</v>
      </c>
      <c r="W62" s="186">
        <f>IF('[1]Annual Parameters Source'!W62="","-",'[1]Annual Parameters Source'!W62)</f>
        <v>126.63245222097079</v>
      </c>
    </row>
    <row r="63" spans="1:26" ht="13.5" customHeight="1" x14ac:dyDescent="0.25">
      <c r="A63" s="180"/>
      <c r="B63" s="85">
        <v>2024</v>
      </c>
      <c r="C63" s="138"/>
      <c r="D63" s="181">
        <f>IF('[1]Annual Parameters Source'!D63="","-",'[1]Annual Parameters Source'!D63/VLOOKUP($B$14,'[1]Annual Parameters Source'!$B$29:$D$139,3,1)*100)</f>
        <v>128.20295648871692</v>
      </c>
      <c r="E63" s="182" t="str">
        <f>IF('[1]Annual Parameters Source'!E63="","-",'[1]Annual Parameters Source'!E63)</f>
        <v>-</v>
      </c>
      <c r="F63" s="183">
        <f>IF('[1]Annual Parameters Source'!F63="","-",'[1]Annual Parameters Source'!F63)</f>
        <v>2.5</v>
      </c>
      <c r="G63" s="184">
        <f>IF('[1]Annual Parameters Source'!G63="","-",'[1]Annual Parameters Source'!G63)</f>
        <v>199.94559860125145</v>
      </c>
      <c r="H63" s="182" t="str">
        <f>IF('[1]Annual Parameters Source'!H63="","-",'[1]Annual Parameters Source'!H63)</f>
        <v>-</v>
      </c>
      <c r="I63" s="183">
        <f>IF('[1]Annual Parameters Source'!I63="","-",'[1]Annual Parameters Source'!I63)</f>
        <v>0.59340746119034282</v>
      </c>
      <c r="J63" s="184">
        <f>IF('[1]Annual Parameters Source'!J63="","-",'[1]Annual Parameters Source'!J63)</f>
        <v>120.62185976822546</v>
      </c>
      <c r="K63" s="182" t="str">
        <f>IF('[1]Annual Parameters Source'!K63="","-",'[1]Annual Parameters Source'!K63)</f>
        <v>-</v>
      </c>
      <c r="L63" s="183">
        <f>IF('[1]Annual Parameters Source'!L63="","-",'[1]Annual Parameters Source'!L63)</f>
        <v>0.84044819703699147</v>
      </c>
      <c r="M63" s="184">
        <f>IF('[1]Annual Parameters Source'!M63="","-",'[1]Annual Parameters Source'!M63)</f>
        <v>123.25214579715629</v>
      </c>
      <c r="N63" s="182" t="str">
        <f>IF('[1]Annual Parameters Source'!N63="","-",'[1]Annual Parameters Source'!N63)</f>
        <v>-</v>
      </c>
      <c r="O63" s="183">
        <f>IF('[1]Annual Parameters Source'!O63="","-",'[1]Annual Parameters Source'!O63)</f>
        <v>1.8953454176857898</v>
      </c>
      <c r="P63" s="184">
        <f>IF('[1]Annual Parameters Source'!P63="","-",'[1]Annual Parameters Source'!P63)</f>
        <v>165.76232449528331</v>
      </c>
      <c r="Q63" s="182" t="str">
        <f>IF('[1]Annual Parameters Source'!Q63="","-",'[1]Annual Parameters Source'!Q63)</f>
        <v>-</v>
      </c>
      <c r="R63" s="183">
        <f>IF('[1]Annual Parameters Source'!R63="","-",'[1]Annual Parameters Source'!R63)</f>
        <v>1.6457203757368477</v>
      </c>
      <c r="S63" s="184">
        <f>IF('[1]Annual Parameters Source'!S63="","-",'[1]Annual Parameters Source'!S63)</f>
        <v>146.03482327211054</v>
      </c>
      <c r="T63" s="183">
        <f>IF('[1]Annual Parameters Source'!T63="","-",'[1]Annual Parameters Source'!T63)</f>
        <v>1.8953454176857898</v>
      </c>
      <c r="U63" s="183">
        <f>IF('[1]Annual Parameters Source'!U63="","-",'[1]Annual Parameters Source'!U63)</f>
        <v>1.8953454176857898</v>
      </c>
      <c r="V63" s="185">
        <f>IF('[1]Annual Parameters Source'!V63="","-",'[1]Annual Parameters Source'!V63)</f>
        <v>129.03257460144411</v>
      </c>
      <c r="W63" s="186">
        <f>IF('[1]Annual Parameters Source'!W63="","-",'[1]Annual Parameters Source'!W63)</f>
        <v>129.03257460144411</v>
      </c>
    </row>
    <row r="64" spans="1:26" ht="13.5" customHeight="1" x14ac:dyDescent="0.25">
      <c r="A64" s="180"/>
      <c r="B64" s="85">
        <v>2025</v>
      </c>
      <c r="C64" s="138"/>
      <c r="D64" s="181">
        <f>IF('[1]Annual Parameters Source'!D64="","-",'[1]Annual Parameters Source'!D64/VLOOKUP($B$14,'[1]Annual Parameters Source'!$B$29:$D$139,3,1)*100)</f>
        <v>131.15162448795738</v>
      </c>
      <c r="E64" s="182" t="str">
        <f>IF('[1]Annual Parameters Source'!E64="","-",'[1]Annual Parameters Source'!E64)</f>
        <v>-</v>
      </c>
      <c r="F64" s="183">
        <f>IF('[1]Annual Parameters Source'!F64="","-",'[1]Annual Parameters Source'!F64)</f>
        <v>2.5</v>
      </c>
      <c r="G64" s="184">
        <f>IF('[1]Annual Parameters Source'!G64="","-",'[1]Annual Parameters Source'!G64)</f>
        <v>204.94423856628273</v>
      </c>
      <c r="H64" s="182" t="str">
        <f>IF('[1]Annual Parameters Source'!H64="","-",'[1]Annual Parameters Source'!H64)</f>
        <v>-</v>
      </c>
      <c r="I64" s="183">
        <f>IF('[1]Annual Parameters Source'!I64="","-",'[1]Annual Parameters Source'!I64)</f>
        <v>0.57841356454293447</v>
      </c>
      <c r="J64" s="184">
        <f>IF('[1]Annual Parameters Source'!J64="","-",'[1]Annual Parameters Source'!J64)</f>
        <v>121.31955296692882</v>
      </c>
      <c r="K64" s="182" t="str">
        <f>IF('[1]Annual Parameters Source'!K64="","-",'[1]Annual Parameters Source'!K64)</f>
        <v>-</v>
      </c>
      <c r="L64" s="183">
        <f>IF('[1]Annual Parameters Source'!L64="","-",'[1]Annual Parameters Source'!L64)</f>
        <v>0.8202259498464759</v>
      </c>
      <c r="M64" s="184">
        <f>IF('[1]Annual Parameters Source'!M64="","-",'[1]Annual Parameters Source'!M64)</f>
        <v>124.26309188072717</v>
      </c>
      <c r="N64" s="182" t="str">
        <f>IF('[1]Annual Parameters Source'!N64="","-",'[1]Annual Parameters Source'!N64)</f>
        <v>-</v>
      </c>
      <c r="O64" s="183">
        <f>IF('[1]Annual Parameters Source'!O64="","-",'[1]Annual Parameters Source'!O64)</f>
        <v>1.9105356381704741</v>
      </c>
      <c r="P64" s="184">
        <f>IF('[1]Annual Parameters Source'!P64="","-",'[1]Annual Parameters Source'!P64)</f>
        <v>168.92927277942547</v>
      </c>
      <c r="Q64" s="182" t="str">
        <f>IF('[1]Annual Parameters Source'!Q64="","-",'[1]Annual Parameters Source'!Q64)</f>
        <v>-</v>
      </c>
      <c r="R64" s="183">
        <f>IF('[1]Annual Parameters Source'!R64="","-",'[1]Annual Parameters Source'!R64)</f>
        <v>1.6661081983580628</v>
      </c>
      <c r="S64" s="184">
        <f>IF('[1]Annual Parameters Source'!S64="","-",'[1]Annual Parameters Source'!S64)</f>
        <v>148.4679214351049</v>
      </c>
      <c r="T64" s="183">
        <f>IF('[1]Annual Parameters Source'!T64="","-",'[1]Annual Parameters Source'!T64)</f>
        <v>1.9105356381704741</v>
      </c>
      <c r="U64" s="183">
        <f>IF('[1]Annual Parameters Source'!U64="","-",'[1]Annual Parameters Source'!U64)</f>
        <v>1.9105356381704741</v>
      </c>
      <c r="V64" s="185">
        <f>IF('[1]Annual Parameters Source'!V64="","-",'[1]Annual Parameters Source'!V64)</f>
        <v>131.4977879240536</v>
      </c>
      <c r="W64" s="186">
        <f>IF('[1]Annual Parameters Source'!W64="","-",'[1]Annual Parameters Source'!W64)</f>
        <v>131.4977879240536</v>
      </c>
    </row>
    <row r="65" spans="1:23" ht="13.5" customHeight="1" x14ac:dyDescent="0.25">
      <c r="A65" s="180"/>
      <c r="B65" s="85">
        <v>2026</v>
      </c>
      <c r="C65" s="138"/>
      <c r="D65" s="181">
        <f>IF('[1]Annual Parameters Source'!D65="","-",'[1]Annual Parameters Source'!D65/VLOOKUP($B$14,'[1]Annual Parameters Source'!$B$29:$D$139,3,1)*100)</f>
        <v>134.16811185118041</v>
      </c>
      <c r="E65" s="182" t="str">
        <f>IF('[1]Annual Parameters Source'!E65="","-",'[1]Annual Parameters Source'!E65)</f>
        <v>-</v>
      </c>
      <c r="F65" s="183">
        <f>IF('[1]Annual Parameters Source'!F65="","-",'[1]Annual Parameters Source'!F65)</f>
        <v>2.5</v>
      </c>
      <c r="G65" s="184">
        <f>IF('[1]Annual Parameters Source'!G65="","-",'[1]Annual Parameters Source'!G65)</f>
        <v>210.0678445304398</v>
      </c>
      <c r="H65" s="182" t="str">
        <f>IF('[1]Annual Parameters Source'!H65="","-",'[1]Annual Parameters Source'!H65)</f>
        <v>-</v>
      </c>
      <c r="I65" s="183">
        <f>IF('[1]Annual Parameters Source'!I65="","-",'[1]Annual Parameters Source'!I65)</f>
        <v>0.56250217711772965</v>
      </c>
      <c r="J65" s="184">
        <f>IF('[1]Annual Parameters Source'!J65="","-",'[1]Annual Parameters Source'!J65)</f>
        <v>122.00197809363731</v>
      </c>
      <c r="K65" s="182" t="str">
        <f>IF('[1]Annual Parameters Source'!K65="","-",'[1]Annual Parameters Source'!K65)</f>
        <v>-</v>
      </c>
      <c r="L65" s="183">
        <f>IF('[1]Annual Parameters Source'!L65="","-",'[1]Annual Parameters Source'!L65)</f>
        <v>0.82445747698192129</v>
      </c>
      <c r="M65" s="184">
        <f>IF('[1]Annual Parameters Source'!M65="","-",'[1]Annual Parameters Source'!M65)</f>
        <v>125.28758823286675</v>
      </c>
      <c r="N65" s="182" t="str">
        <f>IF('[1]Annual Parameters Source'!N65="","-",'[1]Annual Parameters Source'!N65)</f>
        <v>-</v>
      </c>
      <c r="O65" s="183">
        <f>IF('[1]Annual Parameters Source'!O65="","-",'[1]Annual Parameters Source'!O65)</f>
        <v>1.9266603166554042</v>
      </c>
      <c r="P65" s="184">
        <f>IF('[1]Annual Parameters Source'!P65="","-",'[1]Annual Parameters Source'!P65)</f>
        <v>172.1839660412812</v>
      </c>
      <c r="Q65" s="182" t="str">
        <f>IF('[1]Annual Parameters Source'!Q65="","-",'[1]Annual Parameters Source'!Q65)</f>
        <v>-</v>
      </c>
      <c r="R65" s="183">
        <f>IF('[1]Annual Parameters Source'!R65="","-",'[1]Annual Parameters Source'!R65)</f>
        <v>1.6618413477708094</v>
      </c>
      <c r="S65" s="184">
        <f>IF('[1]Annual Parameters Source'!S65="","-",'[1]Annual Parameters Source'!S65)</f>
        <v>150.93522274168933</v>
      </c>
      <c r="T65" s="183">
        <f>IF('[1]Annual Parameters Source'!T65="","-",'[1]Annual Parameters Source'!T65)</f>
        <v>1.9266603166554042</v>
      </c>
      <c r="U65" s="183">
        <f>IF('[1]Annual Parameters Source'!U65="","-",'[1]Annual Parameters Source'!U65)</f>
        <v>1.9266603166554042</v>
      </c>
      <c r="V65" s="185">
        <f>IF('[1]Annual Parameters Source'!V65="","-",'[1]Annual Parameters Source'!V65)</f>
        <v>134.03130362126603</v>
      </c>
      <c r="W65" s="186">
        <f>IF('[1]Annual Parameters Source'!W65="","-",'[1]Annual Parameters Source'!W65)</f>
        <v>134.03130362126603</v>
      </c>
    </row>
    <row r="66" spans="1:23" ht="13.5" customHeight="1" x14ac:dyDescent="0.25">
      <c r="A66" s="180"/>
      <c r="B66" s="85">
        <v>2027</v>
      </c>
      <c r="C66" s="138"/>
      <c r="D66" s="181">
        <f>IF('[1]Annual Parameters Source'!D66="","-",'[1]Annual Parameters Source'!D66/VLOOKUP($B$14,'[1]Annual Parameters Source'!$B$29:$D$139,3,1)*100)</f>
        <v>137.25397842375756</v>
      </c>
      <c r="E66" s="182" t="str">
        <f>IF('[1]Annual Parameters Source'!E66="","-",'[1]Annual Parameters Source'!E66)</f>
        <v>-</v>
      </c>
      <c r="F66" s="183">
        <f>IF('[1]Annual Parameters Source'!F66="","-",'[1]Annual Parameters Source'!F66)</f>
        <v>2.5</v>
      </c>
      <c r="G66" s="184">
        <f>IF('[1]Annual Parameters Source'!G66="","-",'[1]Annual Parameters Source'!G66)</f>
        <v>215.31954064370078</v>
      </c>
      <c r="H66" s="182" t="str">
        <f>IF('[1]Annual Parameters Source'!H66="","-",'[1]Annual Parameters Source'!H66)</f>
        <v>-</v>
      </c>
      <c r="I66" s="183">
        <f>IF('[1]Annual Parameters Source'!I66="","-",'[1]Annual Parameters Source'!I66)</f>
        <v>0.54610959044296692</v>
      </c>
      <c r="J66" s="184">
        <f>IF('[1]Annual Parameters Source'!J66="","-",'[1]Annual Parameters Source'!J66)</f>
        <v>122.66824259653679</v>
      </c>
      <c r="K66" s="182" t="str">
        <f>IF('[1]Annual Parameters Source'!K66="","-",'[1]Annual Parameters Source'!K66)</f>
        <v>-</v>
      </c>
      <c r="L66" s="183">
        <f>IF('[1]Annual Parameters Source'!L66="","-",'[1]Annual Parameters Source'!L66)</f>
        <v>0.80557535814678172</v>
      </c>
      <c r="M66" s="184">
        <f>IF('[1]Annual Parameters Source'!M66="","-",'[1]Annual Parameters Source'!M66)</f>
        <v>126.29687417048713</v>
      </c>
      <c r="N66" s="182" t="str">
        <f>IF('[1]Annual Parameters Source'!N66="","-",'[1]Annual Parameters Source'!N66)</f>
        <v>-</v>
      </c>
      <c r="O66" s="183">
        <f>IF('[1]Annual Parameters Source'!O66="","-",'[1]Annual Parameters Source'!O66)</f>
        <v>1.943277982127678</v>
      </c>
      <c r="P66" s="184">
        <f>IF('[1]Annual Parameters Source'!P66="","-",'[1]Annual Parameters Source'!P66)</f>
        <v>175.52997914211562</v>
      </c>
      <c r="Q66" s="182" t="str">
        <f>IF('[1]Annual Parameters Source'!Q66="","-",'[1]Annual Parameters Source'!Q66)</f>
        <v>-</v>
      </c>
      <c r="R66" s="183">
        <f>IF('[1]Annual Parameters Source'!R66="","-",'[1]Annual Parameters Source'!R66)</f>
        <v>1.6808838557125227</v>
      </c>
      <c r="S66" s="184">
        <f>IF('[1]Annual Parameters Source'!S66="","-",'[1]Annual Parameters Source'!S66)</f>
        <v>153.47226853333811</v>
      </c>
      <c r="T66" s="183">
        <f>IF('[1]Annual Parameters Source'!T66="","-",'[1]Annual Parameters Source'!T66)</f>
        <v>1.943277982127678</v>
      </c>
      <c r="U66" s="183">
        <f>IF('[1]Annual Parameters Source'!U66="","-",'[1]Annual Parameters Source'!U66)</f>
        <v>1.943277982127678</v>
      </c>
      <c r="V66" s="185">
        <f>IF('[1]Annual Parameters Source'!V66="","-",'[1]Annual Parameters Source'!V66)</f>
        <v>136.63590443369679</v>
      </c>
      <c r="W66" s="186">
        <f>IF('[1]Annual Parameters Source'!W66="","-",'[1]Annual Parameters Source'!W66)</f>
        <v>136.63590443369679</v>
      </c>
    </row>
    <row r="67" spans="1:23" ht="13.5" customHeight="1" x14ac:dyDescent="0.25">
      <c r="A67" s="180"/>
      <c r="B67" s="85">
        <v>2028</v>
      </c>
      <c r="C67" s="138"/>
      <c r="D67" s="181">
        <f>IF('[1]Annual Parameters Source'!D67="","-",'[1]Annual Parameters Source'!D67/VLOOKUP($B$14,'[1]Annual Parameters Source'!$B$29:$D$139,3,1)*100)</f>
        <v>140.41081992750398</v>
      </c>
      <c r="E67" s="182" t="str">
        <f>IF('[1]Annual Parameters Source'!E67="","-",'[1]Annual Parameters Source'!E67)</f>
        <v>-</v>
      </c>
      <c r="F67" s="183">
        <f>IF('[1]Annual Parameters Source'!F67="","-",'[1]Annual Parameters Source'!F67)</f>
        <v>2.5</v>
      </c>
      <c r="G67" s="184">
        <f>IF('[1]Annual Parameters Source'!G67="","-",'[1]Annual Parameters Source'!G67)</f>
        <v>220.7025291597933</v>
      </c>
      <c r="H67" s="182" t="str">
        <f>IF('[1]Annual Parameters Source'!H67="","-",'[1]Annual Parameters Source'!H67)</f>
        <v>-</v>
      </c>
      <c r="I67" s="183">
        <f>IF('[1]Annual Parameters Source'!I67="","-",'[1]Annual Parameters Source'!I67)</f>
        <v>0.52966612619260722</v>
      </c>
      <c r="J67" s="184">
        <f>IF('[1]Annual Parameters Source'!J67="","-",'[1]Annual Parameters Source'!J67)</f>
        <v>123.31797472516641</v>
      </c>
      <c r="K67" s="182" t="str">
        <f>IF('[1]Annual Parameters Source'!K67="","-",'[1]Annual Parameters Source'!K67)</f>
        <v>-</v>
      </c>
      <c r="L67" s="183">
        <f>IF('[1]Annual Parameters Source'!L67="","-",'[1]Annual Parameters Source'!L67)</f>
        <v>0.78452764408445397</v>
      </c>
      <c r="M67" s="184">
        <f>IF('[1]Annual Parameters Source'!M67="","-",'[1]Annual Parameters Source'!M67)</f>
        <v>127.28770806196916</v>
      </c>
      <c r="N67" s="182" t="str">
        <f>IF('[1]Annual Parameters Source'!N67="","-",'[1]Annual Parameters Source'!N67)</f>
        <v>-</v>
      </c>
      <c r="O67" s="183">
        <f>IF('[1]Annual Parameters Source'!O67="","-",'[1]Annual Parameters Source'!O67)</f>
        <v>1.9599526684332957</v>
      </c>
      <c r="P67" s="184">
        <f>IF('[1]Annual Parameters Source'!P67="","-",'[1]Annual Parameters Source'!P67)</f>
        <v>178.97028365221192</v>
      </c>
      <c r="Q67" s="182" t="str">
        <f>IF('[1]Annual Parameters Source'!Q67="","-",'[1]Annual Parameters Source'!Q67)</f>
        <v>-</v>
      </c>
      <c r="R67" s="183">
        <f>IF('[1]Annual Parameters Source'!R67="","-",'[1]Annual Parameters Source'!R67)</f>
        <v>1.7021187636793389</v>
      </c>
      <c r="S67" s="184">
        <f>IF('[1]Annual Parameters Source'!S67="","-",'[1]Annual Parameters Source'!S67)</f>
        <v>156.08454881308842</v>
      </c>
      <c r="T67" s="183">
        <f>IF('[1]Annual Parameters Source'!T67="","-",'[1]Annual Parameters Source'!T67)</f>
        <v>1.9599526684332957</v>
      </c>
      <c r="U67" s="183">
        <f>IF('[1]Annual Parameters Source'!U67="","-",'[1]Annual Parameters Source'!U67)</f>
        <v>1.9599526684332957</v>
      </c>
      <c r="V67" s="185">
        <f>IF('[1]Annual Parameters Source'!V67="","-",'[1]Annual Parameters Source'!V67)</f>
        <v>139.313903488683</v>
      </c>
      <c r="W67" s="186">
        <f>IF('[1]Annual Parameters Source'!W67="","-",'[1]Annual Parameters Source'!W67)</f>
        <v>139.313903488683</v>
      </c>
    </row>
    <row r="68" spans="1:23" ht="13.5" customHeight="1" x14ac:dyDescent="0.25">
      <c r="A68" s="180"/>
      <c r="B68" s="85">
        <v>2029</v>
      </c>
      <c r="C68" s="138"/>
      <c r="D68" s="181">
        <f>IF('[1]Annual Parameters Source'!D68="","-",'[1]Annual Parameters Source'!D68/VLOOKUP($B$14,'[1]Annual Parameters Source'!$B$29:$D$139,3,1)*100)</f>
        <v>143.64026878583655</v>
      </c>
      <c r="E68" s="182" t="str">
        <f>IF('[1]Annual Parameters Source'!E68="","-",'[1]Annual Parameters Source'!E68)</f>
        <v>-</v>
      </c>
      <c r="F68" s="183">
        <f>IF('[1]Annual Parameters Source'!F68="","-",'[1]Annual Parameters Source'!F68)</f>
        <v>2.5</v>
      </c>
      <c r="G68" s="184">
        <f>IF('[1]Annual Parameters Source'!G68="","-",'[1]Annual Parameters Source'!G68)</f>
        <v>226.22009238878815</v>
      </c>
      <c r="H68" s="182" t="str">
        <f>IF('[1]Annual Parameters Source'!H68="","-",'[1]Annual Parameters Source'!H68)</f>
        <v>-</v>
      </c>
      <c r="I68" s="183">
        <f>IF('[1]Annual Parameters Source'!I68="","-",'[1]Annual Parameters Source'!I68)</f>
        <v>0.513204662456479</v>
      </c>
      <c r="J68" s="184">
        <f>IF('[1]Annual Parameters Source'!J68="","-",'[1]Annual Parameters Source'!J68)</f>
        <v>123.95084832110285</v>
      </c>
      <c r="K68" s="182" t="str">
        <f>IF('[1]Annual Parameters Source'!K68="","-",'[1]Annual Parameters Source'!K68)</f>
        <v>-</v>
      </c>
      <c r="L68" s="183">
        <f>IF('[1]Annual Parameters Source'!L68="","-",'[1]Annual Parameters Source'!L68)</f>
        <v>0.76703376500000253</v>
      </c>
      <c r="M68" s="184">
        <f>IF('[1]Annual Parameters Source'!M68="","-",'[1]Annual Parameters Source'!M68)</f>
        <v>128.26404776149909</v>
      </c>
      <c r="N68" s="182" t="str">
        <f>IF('[1]Annual Parameters Source'!N68="","-",'[1]Annual Parameters Source'!N68)</f>
        <v>-</v>
      </c>
      <c r="O68" s="183">
        <f>IF('[1]Annual Parameters Source'!O68="","-",'[1]Annual Parameters Source'!O68)</f>
        <v>1.9766510720811148</v>
      </c>
      <c r="P68" s="184">
        <f>IF('[1]Annual Parameters Source'!P68="","-",'[1]Annual Parameters Source'!P68)</f>
        <v>182.50790168272997</v>
      </c>
      <c r="Q68" s="182" t="str">
        <f>IF('[1]Annual Parameters Source'!Q68="","-",'[1]Annual Parameters Source'!Q68)</f>
        <v>-</v>
      </c>
      <c r="R68" s="183">
        <f>IF('[1]Annual Parameters Source'!R68="","-",'[1]Annual Parameters Source'!R68)</f>
        <v>1.7197749802196904</v>
      </c>
      <c r="S68" s="184">
        <f>IF('[1]Annual Parameters Source'!S68="","-",'[1]Annual Parameters Source'!S68)</f>
        <v>158.76885183156472</v>
      </c>
      <c r="T68" s="183">
        <f>IF('[1]Annual Parameters Source'!T68="","-",'[1]Annual Parameters Source'!T68)</f>
        <v>1.9766510720811148</v>
      </c>
      <c r="U68" s="183">
        <f>IF('[1]Annual Parameters Source'!U68="","-",'[1]Annual Parameters Source'!U68)</f>
        <v>1.9766510720811148</v>
      </c>
      <c r="V68" s="185">
        <f>IF('[1]Annual Parameters Source'!V68="","-",'[1]Annual Parameters Source'!V68)</f>
        <v>142.06765325555008</v>
      </c>
      <c r="W68" s="186">
        <f>IF('[1]Annual Parameters Source'!W68="","-",'[1]Annual Parameters Source'!W68)</f>
        <v>142.06765325555008</v>
      </c>
    </row>
    <row r="69" spans="1:23" ht="13.5" customHeight="1" x14ac:dyDescent="0.25">
      <c r="A69" s="180"/>
      <c r="B69" s="85">
        <v>2030</v>
      </c>
      <c r="C69" s="138"/>
      <c r="D69" s="181">
        <f>IF('[1]Annual Parameters Source'!D69="","-",'[1]Annual Parameters Source'!D69/VLOOKUP($B$14,'[1]Annual Parameters Source'!$B$29:$D$139,3,1)*100)</f>
        <v>146.94399496791078</v>
      </c>
      <c r="E69" s="182" t="str">
        <f>IF('[1]Annual Parameters Source'!E69="","-",'[1]Annual Parameters Source'!E69)</f>
        <v>-</v>
      </c>
      <c r="F69" s="183">
        <f>IF('[1]Annual Parameters Source'!F69="","-",'[1]Annual Parameters Source'!F69)</f>
        <v>2.5</v>
      </c>
      <c r="G69" s="184">
        <f>IF('[1]Annual Parameters Source'!G69="","-",'[1]Annual Parameters Source'!G69)</f>
        <v>231.87559469850785</v>
      </c>
      <c r="H69" s="182" t="str">
        <f>IF('[1]Annual Parameters Source'!H69="","-",'[1]Annual Parameters Source'!H69)</f>
        <v>-</v>
      </c>
      <c r="I69" s="183">
        <f>IF('[1]Annual Parameters Source'!I69="","-",'[1]Annual Parameters Source'!I69)</f>
        <v>0.49711066134781046</v>
      </c>
      <c r="J69" s="184">
        <f>IF('[1]Annual Parameters Source'!J69="","-",'[1]Annual Parameters Source'!J69)</f>
        <v>124.56702120293811</v>
      </c>
      <c r="K69" s="182" t="str">
        <f>IF('[1]Annual Parameters Source'!K69="","-",'[1]Annual Parameters Source'!K69)</f>
        <v>-</v>
      </c>
      <c r="L69" s="183">
        <f>IF('[1]Annual Parameters Source'!L69="","-",'[1]Annual Parameters Source'!L69)</f>
        <v>0.74746115776089805</v>
      </c>
      <c r="M69" s="184">
        <f>IF('[1]Annual Parameters Source'!M69="","-",'[1]Annual Parameters Source'!M69)</f>
        <v>129.22277169788819</v>
      </c>
      <c r="N69" s="182" t="str">
        <f>IF('[1]Annual Parameters Source'!N69="","-",'[1]Annual Parameters Source'!N69)</f>
        <v>-</v>
      </c>
      <c r="O69" s="183">
        <f>IF('[1]Annual Parameters Source'!O69="","-",'[1]Annual Parameters Source'!O69)</f>
        <v>1.992982012588862</v>
      </c>
      <c r="P69" s="184">
        <f>IF('[1]Annual Parameters Source'!P69="","-",'[1]Annual Parameters Source'!P69)</f>
        <v>186.14525133482013</v>
      </c>
      <c r="Q69" s="182" t="str">
        <f>IF('[1]Annual Parameters Source'!Q69="","-",'[1]Annual Parameters Source'!Q69)</f>
        <v>-</v>
      </c>
      <c r="R69" s="183">
        <f>IF('[1]Annual Parameters Source'!R69="","-",'[1]Annual Parameters Source'!R69)</f>
        <v>1.7395364827057946</v>
      </c>
      <c r="S69" s="184">
        <f>IF('[1]Annual Parameters Source'!S69="","-",'[1]Annual Parameters Source'!S69)</f>
        <v>161.5306939323479</v>
      </c>
      <c r="T69" s="183">
        <f>IF('[1]Annual Parameters Source'!T69="","-",'[1]Annual Parameters Source'!T69)</f>
        <v>1.992982012588862</v>
      </c>
      <c r="U69" s="183">
        <f>IF('[1]Annual Parameters Source'!U69="","-",'[1]Annual Parameters Source'!U69)</f>
        <v>1.992982012588862</v>
      </c>
      <c r="V69" s="185">
        <f>IF('[1]Annual Parameters Source'!V69="","-",'[1]Annual Parameters Source'!V69)</f>
        <v>144.8990360306403</v>
      </c>
      <c r="W69" s="186">
        <f>IF('[1]Annual Parameters Source'!W69="","-",'[1]Annual Parameters Source'!W69)</f>
        <v>144.8990360306403</v>
      </c>
    </row>
    <row r="70" spans="1:23" ht="13.5" customHeight="1" x14ac:dyDescent="0.25">
      <c r="A70" s="180"/>
      <c r="B70" s="85">
        <v>2031</v>
      </c>
      <c r="C70" s="138"/>
      <c r="D70" s="181">
        <f>IF('[1]Annual Parameters Source'!D70="","-",'[1]Annual Parameters Source'!D70/VLOOKUP($B$14,'[1]Annual Parameters Source'!$B$29:$D$139,3,1)*100)</f>
        <v>150.32370685217273</v>
      </c>
      <c r="E70" s="182" t="str">
        <f>IF('[1]Annual Parameters Source'!E70="","-",'[1]Annual Parameters Source'!E70)</f>
        <v>-</v>
      </c>
      <c r="F70" s="183">
        <f>IF('[1]Annual Parameters Source'!F70="","-",'[1]Annual Parameters Source'!F70)</f>
        <v>2.5</v>
      </c>
      <c r="G70" s="184">
        <f>IF('[1]Annual Parameters Source'!G70="","-",'[1]Annual Parameters Source'!G70)</f>
        <v>237.67248456597056</v>
      </c>
      <c r="H70" s="182" t="str">
        <f>IF('[1]Annual Parameters Source'!H70="","-",'[1]Annual Parameters Source'!H70)</f>
        <v>-</v>
      </c>
      <c r="I70" s="183">
        <f>IF('[1]Annual Parameters Source'!I70="","-",'[1]Annual Parameters Source'!I70)</f>
        <v>0.48150933324473399</v>
      </c>
      <c r="J70" s="184">
        <f>IF('[1]Annual Parameters Source'!J70="","-",'[1]Annual Parameters Source'!J70)</f>
        <v>125.16682303617519</v>
      </c>
      <c r="K70" s="182" t="str">
        <f>IF('[1]Annual Parameters Source'!K70="","-",'[1]Annual Parameters Source'!K70)</f>
        <v>-</v>
      </c>
      <c r="L70" s="183">
        <f>IF('[1]Annual Parameters Source'!L70="","-",'[1]Annual Parameters Source'!L70)</f>
        <v>0.7416208787600409</v>
      </c>
      <c r="M70" s="184">
        <f>IF('[1]Annual Parameters Source'!M70="","-",'[1]Annual Parameters Source'!M70)</f>
        <v>130.18111475291215</v>
      </c>
      <c r="N70" s="182" t="str">
        <f>IF('[1]Annual Parameters Source'!N70="","-",'[1]Annual Parameters Source'!N70)</f>
        <v>-</v>
      </c>
      <c r="O70" s="183">
        <f>IF('[1]Annual Parameters Source'!O70="","-",'[1]Annual Parameters Source'!O70)</f>
        <v>2.0088180204986594</v>
      </c>
      <c r="P70" s="184">
        <f>IF('[1]Annual Parameters Source'!P70="","-",'[1]Annual Parameters Source'!P70)</f>
        <v>189.88457068793653</v>
      </c>
      <c r="Q70" s="182" t="str">
        <f>IF('[1]Annual Parameters Source'!Q70="","-",'[1]Annual Parameters Source'!Q70)</f>
        <v>-</v>
      </c>
      <c r="R70" s="183">
        <f>IF('[1]Annual Parameters Source'!R70="","-",'[1]Annual Parameters Source'!R70)</f>
        <v>1.7454346137194987</v>
      </c>
      <c r="S70" s="184">
        <f>IF('[1]Annual Parameters Source'!S70="","-",'[1]Annual Parameters Source'!S70)</f>
        <v>164.35010657602442</v>
      </c>
      <c r="T70" s="183">
        <f>IF('[1]Annual Parameters Source'!T70="","-",'[1]Annual Parameters Source'!T70)</f>
        <v>2.0088180204986594</v>
      </c>
      <c r="U70" s="183">
        <f>IF('[1]Annual Parameters Source'!U70="","-",'[1]Annual Parameters Source'!U70)</f>
        <v>2.0088180204986594</v>
      </c>
      <c r="V70" s="185">
        <f>IF('[1]Annual Parameters Source'!V70="","-",'[1]Annual Parameters Source'!V70)</f>
        <v>147.80979397795264</v>
      </c>
      <c r="W70" s="186">
        <f>IF('[1]Annual Parameters Source'!W70="","-",'[1]Annual Parameters Source'!W70)</f>
        <v>147.80979397795264</v>
      </c>
    </row>
    <row r="71" spans="1:23" ht="13.5" customHeight="1" x14ac:dyDescent="0.25">
      <c r="A71" s="180"/>
      <c r="B71" s="85">
        <v>2032</v>
      </c>
      <c r="C71" s="138"/>
      <c r="D71" s="181">
        <f>IF('[1]Annual Parameters Source'!D71="","-",'[1]Annual Parameters Source'!D71/VLOOKUP($B$14,'[1]Annual Parameters Source'!$B$29:$D$139,3,1)*100)</f>
        <v>153.78115210977271</v>
      </c>
      <c r="E71" s="182" t="str">
        <f>IF('[1]Annual Parameters Source'!E71="","-",'[1]Annual Parameters Source'!E71)</f>
        <v>-</v>
      </c>
      <c r="F71" s="183">
        <f>IF('[1]Annual Parameters Source'!F71="","-",'[1]Annual Parameters Source'!F71)</f>
        <v>2.5</v>
      </c>
      <c r="G71" s="184">
        <f>IF('[1]Annual Parameters Source'!G71="","-",'[1]Annual Parameters Source'!G71)</f>
        <v>243.61429668011985</v>
      </c>
      <c r="H71" s="182" t="str">
        <f>IF('[1]Annual Parameters Source'!H71="","-",'[1]Annual Parameters Source'!H71)</f>
        <v>-</v>
      </c>
      <c r="I71" s="183">
        <f>IF('[1]Annual Parameters Source'!I71="","-",'[1]Annual Parameters Source'!I71)</f>
        <v>0.46667032411207288</v>
      </c>
      <c r="J71" s="184">
        <f>IF('[1]Annual Parameters Source'!J71="","-",'[1]Annual Parameters Source'!J71)</f>
        <v>125.75093945491889</v>
      </c>
      <c r="K71" s="182" t="str">
        <f>IF('[1]Annual Parameters Source'!K71="","-",'[1]Annual Parameters Source'!K71)</f>
        <v>-</v>
      </c>
      <c r="L71" s="183">
        <f>IF('[1]Annual Parameters Source'!L71="","-",'[1]Annual Parameters Source'!L71)</f>
        <v>0.71294910054671146</v>
      </c>
      <c r="M71" s="184">
        <f>IF('[1]Annual Parameters Source'!M71="","-",'[1]Annual Parameters Source'!M71)</f>
        <v>131.10923983962471</v>
      </c>
      <c r="N71" s="182" t="str">
        <f>IF('[1]Annual Parameters Source'!N71="","-",'[1]Annual Parameters Source'!N71)</f>
        <v>-</v>
      </c>
      <c r="O71" s="183">
        <f>IF('[1]Annual Parameters Source'!O71="","-",'[1]Annual Parameters Source'!O71)</f>
        <v>2.0238848061036263</v>
      </c>
      <c r="P71" s="184">
        <f>IF('[1]Annual Parameters Source'!P71="","-",'[1]Annual Parameters Source'!P71)</f>
        <v>193.72761566322478</v>
      </c>
      <c r="Q71" s="182" t="str">
        <f>IF('[1]Annual Parameters Source'!Q71="","-",'[1]Annual Parameters Source'!Q71)</f>
        <v>-</v>
      </c>
      <c r="R71" s="183">
        <f>IF('[1]Annual Parameters Source'!R71="","-",'[1]Annual Parameters Source'!R71)</f>
        <v>1.7744003282727627</v>
      </c>
      <c r="S71" s="184">
        <f>IF('[1]Annual Parameters Source'!S71="","-",'[1]Annual Parameters Source'!S71)</f>
        <v>167.26633540662601</v>
      </c>
      <c r="T71" s="183">
        <f>IF('[1]Annual Parameters Source'!T71="","-",'[1]Annual Parameters Source'!T71)</f>
        <v>2.0238848061036263</v>
      </c>
      <c r="U71" s="183">
        <f>IF('[1]Annual Parameters Source'!U71="","-",'[1]Annual Parameters Source'!U71)</f>
        <v>2.0238848061036263</v>
      </c>
      <c r="V71" s="185">
        <f>IF('[1]Annual Parameters Source'!V71="","-",'[1]Annual Parameters Source'!V71)</f>
        <v>150.80129394020548</v>
      </c>
      <c r="W71" s="186">
        <f>IF('[1]Annual Parameters Source'!W71="","-",'[1]Annual Parameters Source'!W71)</f>
        <v>150.80129394020548</v>
      </c>
    </row>
    <row r="72" spans="1:23" ht="13.5" customHeight="1" x14ac:dyDescent="0.25">
      <c r="A72" s="180"/>
      <c r="B72" s="85">
        <v>2033</v>
      </c>
      <c r="C72" s="138"/>
      <c r="D72" s="181">
        <f>IF('[1]Annual Parameters Source'!D72="","-",'[1]Annual Parameters Source'!D72/VLOOKUP($B$14,'[1]Annual Parameters Source'!$B$29:$D$139,3,1)*100)</f>
        <v>157.31811860829745</v>
      </c>
      <c r="E72" s="182" t="str">
        <f>IF('[1]Annual Parameters Source'!E72="","-",'[1]Annual Parameters Source'!E72)</f>
        <v>-</v>
      </c>
      <c r="F72" s="183">
        <f>IF('[1]Annual Parameters Source'!F72="","-",'[1]Annual Parameters Source'!F72)</f>
        <v>2.5</v>
      </c>
      <c r="G72" s="184">
        <f>IF('[1]Annual Parameters Source'!G72="","-",'[1]Annual Parameters Source'!G72)</f>
        <v>249.70465409712284</v>
      </c>
      <c r="H72" s="182" t="str">
        <f>IF('[1]Annual Parameters Source'!H72="","-",'[1]Annual Parameters Source'!H72)</f>
        <v>-</v>
      </c>
      <c r="I72" s="183">
        <f>IF('[1]Annual Parameters Source'!I72="","-",'[1]Annual Parameters Source'!I72)</f>
        <v>0.45287705919649923</v>
      </c>
      <c r="J72" s="184">
        <f>IF('[1]Annual Parameters Source'!J72="","-",'[1]Annual Parameters Source'!J72)</f>
        <v>126.32043661143429</v>
      </c>
      <c r="K72" s="182" t="str">
        <f>IF('[1]Annual Parameters Source'!K72="","-",'[1]Annual Parameters Source'!K72)</f>
        <v>-</v>
      </c>
      <c r="L72" s="183">
        <f>IF('[1]Annual Parameters Source'!L72="","-",'[1]Annual Parameters Source'!L72)</f>
        <v>0.68952755844595703</v>
      </c>
      <c r="M72" s="184">
        <f>IF('[1]Annual Parameters Source'!M72="","-",'[1]Annual Parameters Source'!M72)</f>
        <v>132.01327417998792</v>
      </c>
      <c r="N72" s="182" t="str">
        <f>IF('[1]Annual Parameters Source'!N72="","-",'[1]Annual Parameters Source'!N72)</f>
        <v>-</v>
      </c>
      <c r="O72" s="183">
        <f>IF('[1]Annual Parameters Source'!O72="","-",'[1]Annual Parameters Source'!O72)</f>
        <v>2.0378937873497982</v>
      </c>
      <c r="P72" s="184">
        <f>IF('[1]Annual Parameters Source'!P72="","-",'[1]Annual Parameters Source'!P72)</f>
        <v>197.67557870720654</v>
      </c>
      <c r="Q72" s="182" t="str">
        <f>IF('[1]Annual Parameters Source'!Q72="","-",'[1]Annual Parameters Source'!Q72)</f>
        <v>-</v>
      </c>
      <c r="R72" s="183">
        <f>IF('[1]Annual Parameters Source'!R72="","-",'[1]Annual Parameters Source'!R72)</f>
        <v>1.7980742242564851</v>
      </c>
      <c r="S72" s="184">
        <f>IF('[1]Annual Parameters Source'!S72="","-",'[1]Annual Parameters Source'!S72)</f>
        <v>170.27390826943093</v>
      </c>
      <c r="T72" s="183">
        <f>IF('[1]Annual Parameters Source'!T72="","-",'[1]Annual Parameters Source'!T72)</f>
        <v>2.0378937873497982</v>
      </c>
      <c r="U72" s="183">
        <f>IF('[1]Annual Parameters Source'!U72="","-",'[1]Annual Parameters Source'!U72)</f>
        <v>2.0378937873497982</v>
      </c>
      <c r="V72" s="185">
        <f>IF('[1]Annual Parameters Source'!V72="","-",'[1]Annual Parameters Source'!V72)</f>
        <v>153.87446414065604</v>
      </c>
      <c r="W72" s="186">
        <f>IF('[1]Annual Parameters Source'!W72="","-",'[1]Annual Parameters Source'!W72)</f>
        <v>153.87446414065604</v>
      </c>
    </row>
    <row r="73" spans="1:23" ht="13.5" customHeight="1" x14ac:dyDescent="0.25">
      <c r="A73" s="180"/>
      <c r="B73" s="85">
        <v>2034</v>
      </c>
      <c r="C73" s="138"/>
      <c r="D73" s="181">
        <f>IF('[1]Annual Parameters Source'!D73="","-",'[1]Annual Parameters Source'!D73/VLOOKUP($B$14,'[1]Annual Parameters Source'!$B$29:$D$139,3,1)*100)</f>
        <v>160.9364353362883</v>
      </c>
      <c r="E73" s="182" t="str">
        <f>IF('[1]Annual Parameters Source'!E73="","-",'[1]Annual Parameters Source'!E73)</f>
        <v>-</v>
      </c>
      <c r="F73" s="183">
        <f>IF('[1]Annual Parameters Source'!F73="","-",'[1]Annual Parameters Source'!F73)</f>
        <v>2.6</v>
      </c>
      <c r="G73" s="184">
        <f>IF('[1]Annual Parameters Source'!G73="","-",'[1]Annual Parameters Source'!G73)</f>
        <v>256.19697510364801</v>
      </c>
      <c r="H73" s="182" t="str">
        <f>IF('[1]Annual Parameters Source'!H73="","-",'[1]Annual Parameters Source'!H73)</f>
        <v>-</v>
      </c>
      <c r="I73" s="183">
        <f>IF('[1]Annual Parameters Source'!I73="","-",'[1]Annual Parameters Source'!I73)</f>
        <v>0.4405351226708154</v>
      </c>
      <c r="J73" s="184">
        <f>IF('[1]Annual Parameters Source'!J73="","-",'[1]Annual Parameters Source'!J73)</f>
        <v>126.87692250181877</v>
      </c>
      <c r="K73" s="182" t="str">
        <f>IF('[1]Annual Parameters Source'!K73="","-",'[1]Annual Parameters Source'!K73)</f>
        <v>-</v>
      </c>
      <c r="L73" s="183">
        <f>IF('[1]Annual Parameters Source'!L73="","-",'[1]Annual Parameters Source'!L73)</f>
        <v>0.4405351226708154</v>
      </c>
      <c r="M73" s="184">
        <f>IF('[1]Annual Parameters Source'!M73="","-",'[1]Annual Parameters Source'!M73)</f>
        <v>132.59483901933848</v>
      </c>
      <c r="N73" s="182" t="str">
        <f>IF('[1]Annual Parameters Source'!N73="","-",'[1]Annual Parameters Source'!N73)</f>
        <v>-</v>
      </c>
      <c r="O73" s="183">
        <f>IF('[1]Annual Parameters Source'!O73="","-",'[1]Annual Parameters Source'!O73)</f>
        <v>2.1499934012615185</v>
      </c>
      <c r="P73" s="184">
        <f>IF('[1]Annual Parameters Source'!P73="","-",'[1]Annual Parameters Source'!P73)</f>
        <v>201.92559060531701</v>
      </c>
      <c r="Q73" s="182" t="str">
        <f>IF('[1]Annual Parameters Source'!Q73="","-",'[1]Annual Parameters Source'!Q73)</f>
        <v>-</v>
      </c>
      <c r="R73" s="183">
        <f>IF('[1]Annual Parameters Source'!R73="","-",'[1]Annual Parameters Source'!R73)</f>
        <v>2.1499934012615185</v>
      </c>
      <c r="S73" s="184">
        <f>IF('[1]Annual Parameters Source'!S73="","-",'[1]Annual Parameters Source'!S73)</f>
        <v>173.93478606129381</v>
      </c>
      <c r="T73" s="183">
        <f>IF('[1]Annual Parameters Source'!T73="","-",'[1]Annual Parameters Source'!T73)</f>
        <v>2.1499934012615185</v>
      </c>
      <c r="U73" s="183">
        <f>IF('[1]Annual Parameters Source'!U73="","-",'[1]Annual Parameters Source'!U73)</f>
        <v>2.1499934012615185</v>
      </c>
      <c r="V73" s="185">
        <f>IF('[1]Annual Parameters Source'!V73="","-",'[1]Annual Parameters Source'!V73)</f>
        <v>157.18275496590667</v>
      </c>
      <c r="W73" s="186">
        <f>IF('[1]Annual Parameters Source'!W73="","-",'[1]Annual Parameters Source'!W73)</f>
        <v>157.18275496590667</v>
      </c>
    </row>
    <row r="74" spans="1:23" ht="13.5" customHeight="1" x14ac:dyDescent="0.25">
      <c r="A74" s="180"/>
      <c r="B74" s="85">
        <v>2035</v>
      </c>
      <c r="C74" s="138"/>
      <c r="D74" s="181">
        <f>IF('[1]Annual Parameters Source'!D74="","-",'[1]Annual Parameters Source'!D74/VLOOKUP($B$14,'[1]Annual Parameters Source'!$B$29:$D$139,3,1)*100)</f>
        <v>164.63797334902293</v>
      </c>
      <c r="E74" s="182" t="str">
        <f>IF('[1]Annual Parameters Source'!E74="","-",'[1]Annual Parameters Source'!E74)</f>
        <v>-</v>
      </c>
      <c r="F74" s="183">
        <f>IF('[1]Annual Parameters Source'!F74="","-",'[1]Annual Parameters Source'!F74)</f>
        <v>2.5</v>
      </c>
      <c r="G74" s="184">
        <f>IF('[1]Annual Parameters Source'!G74="","-",'[1]Annual Parameters Source'!G74)</f>
        <v>262.60189948123917</v>
      </c>
      <c r="H74" s="182" t="str">
        <f>IF('[1]Annual Parameters Source'!H74="","-",'[1]Annual Parameters Source'!H74)</f>
        <v>-</v>
      </c>
      <c r="I74" s="183">
        <f>IF('[1]Annual Parameters Source'!I74="","-",'[1]Annual Parameters Source'!I74)</f>
        <v>0.42970924129790422</v>
      </c>
      <c r="J74" s="184">
        <f>IF('[1]Annual Parameters Source'!J74="","-",'[1]Annual Parameters Source'!J74)</f>
        <v>127.42212436288347</v>
      </c>
      <c r="K74" s="182" t="str">
        <f>IF('[1]Annual Parameters Source'!K74="","-",'[1]Annual Parameters Source'!K74)</f>
        <v>-</v>
      </c>
      <c r="L74" s="183">
        <f>IF('[1]Annual Parameters Source'!L74="","-",'[1]Annual Parameters Source'!L74)</f>
        <v>0.42970924129790422</v>
      </c>
      <c r="M74" s="184">
        <f>IF('[1]Annual Parameters Source'!M74="","-",'[1]Annual Parameters Source'!M74)</f>
        <v>133.16461129608865</v>
      </c>
      <c r="N74" s="182" t="str">
        <f>IF('[1]Annual Parameters Source'!N74="","-",'[1]Annual Parameters Source'!N74)</f>
        <v>-</v>
      </c>
      <c r="O74" s="183">
        <f>IF('[1]Annual Parameters Source'!O74="","-",'[1]Annual Parameters Source'!O74)</f>
        <v>2.0614325923496546</v>
      </c>
      <c r="P74" s="184">
        <f>IF('[1]Annual Parameters Source'!P74="","-",'[1]Annual Parameters Source'!P74)</f>
        <v>206.08815054234958</v>
      </c>
      <c r="Q74" s="182" t="str">
        <f>IF('[1]Annual Parameters Source'!Q74="","-",'[1]Annual Parameters Source'!Q74)</f>
        <v>-</v>
      </c>
      <c r="R74" s="183">
        <f>IF('[1]Annual Parameters Source'!R74="","-",'[1]Annual Parameters Source'!R74)</f>
        <v>2.0614325923496546</v>
      </c>
      <c r="S74" s="184">
        <f>IF('[1]Annual Parameters Source'!S74="","-",'[1]Annual Parameters Source'!S74)</f>
        <v>177.52033443059497</v>
      </c>
      <c r="T74" s="183">
        <f>IF('[1]Annual Parameters Source'!T74="","-",'[1]Annual Parameters Source'!T74)</f>
        <v>2.0614325923496546</v>
      </c>
      <c r="U74" s="183">
        <f>IF('[1]Annual Parameters Source'!U74="","-",'[1]Annual Parameters Source'!U74)</f>
        <v>2.0614325923496546</v>
      </c>
      <c r="V74" s="185">
        <f>IF('[1]Annual Parameters Source'!V74="","-",'[1]Annual Parameters Source'!V74)</f>
        <v>160.42297150632697</v>
      </c>
      <c r="W74" s="186">
        <f>IF('[1]Annual Parameters Source'!W74="","-",'[1]Annual Parameters Source'!W74)</f>
        <v>160.42297150632697</v>
      </c>
    </row>
    <row r="75" spans="1:23" ht="13.5" customHeight="1" x14ac:dyDescent="0.25">
      <c r="A75" s="180"/>
      <c r="B75" s="85">
        <v>2036</v>
      </c>
      <c r="C75" s="138"/>
      <c r="D75" s="181">
        <f>IF('[1]Annual Parameters Source'!D75="","-",'[1]Annual Parameters Source'!D75/VLOOKUP($B$14,'[1]Annual Parameters Source'!$B$29:$D$139,3,1)*100)</f>
        <v>168.42464673605045</v>
      </c>
      <c r="E75" s="182" t="str">
        <f>IF('[1]Annual Parameters Source'!E75="","-",'[1]Annual Parameters Source'!E75)</f>
        <v>-</v>
      </c>
      <c r="F75" s="183">
        <f>IF('[1]Annual Parameters Source'!F75="","-",'[1]Annual Parameters Source'!F75)</f>
        <v>2.5</v>
      </c>
      <c r="G75" s="184">
        <f>IF('[1]Annual Parameters Source'!G75="","-",'[1]Annual Parameters Source'!G75)</f>
        <v>269.16694696827017</v>
      </c>
      <c r="H75" s="182" t="str">
        <f>IF('[1]Annual Parameters Source'!H75="","-",'[1]Annual Parameters Source'!H75)</f>
        <v>-</v>
      </c>
      <c r="I75" s="183">
        <f>IF('[1]Annual Parameters Source'!I75="","-",'[1]Annual Parameters Source'!I75)</f>
        <v>0.42041595056727665</v>
      </c>
      <c r="J75" s="184">
        <f>IF('[1]Annual Parameters Source'!J75="","-",'[1]Annual Parameters Source'!J75)</f>
        <v>127.95782729825669</v>
      </c>
      <c r="K75" s="182" t="str">
        <f>IF('[1]Annual Parameters Source'!K75="","-",'[1]Annual Parameters Source'!K75)</f>
        <v>-</v>
      </c>
      <c r="L75" s="183">
        <f>IF('[1]Annual Parameters Source'!L75="","-",'[1]Annual Parameters Source'!L75)</f>
        <v>0.42041595056727665</v>
      </c>
      <c r="M75" s="184">
        <f>IF('[1]Annual Parameters Source'!M75="","-",'[1]Annual Parameters Source'!M75)</f>
        <v>133.72445656248831</v>
      </c>
      <c r="N75" s="182" t="str">
        <f>IF('[1]Annual Parameters Source'!N75="","-",'[1]Annual Parameters Source'!N75)</f>
        <v>-</v>
      </c>
      <c r="O75" s="183">
        <f>IF('[1]Annual Parameters Source'!O75="","-",'[1]Annual Parameters Source'!O75)</f>
        <v>2.0708777490589414</v>
      </c>
      <c r="P75" s="184">
        <f>IF('[1]Annual Parameters Source'!P75="","-",'[1]Annual Parameters Source'!P75)</f>
        <v>210.3559841953782</v>
      </c>
      <c r="Q75" s="182" t="str">
        <f>IF('[1]Annual Parameters Source'!Q75="","-",'[1]Annual Parameters Source'!Q75)</f>
        <v>-</v>
      </c>
      <c r="R75" s="183">
        <f>IF('[1]Annual Parameters Source'!R75="","-",'[1]Annual Parameters Source'!R75)</f>
        <v>2.0708777490589414</v>
      </c>
      <c r="S75" s="184">
        <f>IF('[1]Annual Parameters Source'!S75="","-",'[1]Annual Parameters Source'!S75)</f>
        <v>181.19656353637319</v>
      </c>
      <c r="T75" s="183">
        <f>IF('[1]Annual Parameters Source'!T75="","-",'[1]Annual Parameters Source'!T75)</f>
        <v>2.0708777490589414</v>
      </c>
      <c r="U75" s="183">
        <f>IF('[1]Annual Parameters Source'!U75="","-",'[1]Annual Parameters Source'!U75)</f>
        <v>2.0708777490589414</v>
      </c>
      <c r="V75" s="185">
        <f>IF('[1]Annual Parameters Source'!V75="","-",'[1]Annual Parameters Source'!V75)</f>
        <v>163.74513512763068</v>
      </c>
      <c r="W75" s="186">
        <f>IF('[1]Annual Parameters Source'!W75="","-",'[1]Annual Parameters Source'!W75)</f>
        <v>163.74513512763068</v>
      </c>
    </row>
    <row r="76" spans="1:23" ht="13.5" customHeight="1" x14ac:dyDescent="0.25">
      <c r="A76" s="180"/>
      <c r="B76" s="85">
        <v>2037</v>
      </c>
      <c r="C76" s="138"/>
      <c r="D76" s="181">
        <f>IF('[1]Annual Parameters Source'!D76="","-",'[1]Annual Parameters Source'!D76/VLOOKUP($B$14,'[1]Annual Parameters Source'!$B$29:$D$139,3,1)*100)</f>
        <v>172.29841361097957</v>
      </c>
      <c r="E76" s="182" t="str">
        <f>IF('[1]Annual Parameters Source'!E76="","-",'[1]Annual Parameters Source'!E76)</f>
        <v>-</v>
      </c>
      <c r="F76" s="183">
        <f>IF('[1]Annual Parameters Source'!F76="","-",'[1]Annual Parameters Source'!F76)</f>
        <v>2.5</v>
      </c>
      <c r="G76" s="184">
        <f>IF('[1]Annual Parameters Source'!G76="","-",'[1]Annual Parameters Source'!G76)</f>
        <v>275.89612064247694</v>
      </c>
      <c r="H76" s="182" t="str">
        <f>IF('[1]Annual Parameters Source'!H76="","-",'[1]Annual Parameters Source'!H76)</f>
        <v>-</v>
      </c>
      <c r="I76" s="183">
        <f>IF('[1]Annual Parameters Source'!I76="","-",'[1]Annual Parameters Source'!I76)</f>
        <v>0.41268089066210933</v>
      </c>
      <c r="J76" s="184">
        <f>IF('[1]Annual Parameters Source'!J76="","-",'[1]Annual Parameters Source'!J76)</f>
        <v>128.48588479962302</v>
      </c>
      <c r="K76" s="182" t="str">
        <f>IF('[1]Annual Parameters Source'!K76="","-",'[1]Annual Parameters Source'!K76)</f>
        <v>-</v>
      </c>
      <c r="L76" s="183">
        <f>IF('[1]Annual Parameters Source'!L76="","-",'[1]Annual Parameters Source'!L76)</f>
        <v>0.41268089066210933</v>
      </c>
      <c r="M76" s="184">
        <f>IF('[1]Annual Parameters Source'!M76="","-",'[1]Annual Parameters Source'!M76)</f>
        <v>134.27631184086346</v>
      </c>
      <c r="N76" s="182" t="str">
        <f>IF('[1]Annual Parameters Source'!N76="","-",'[1]Annual Parameters Source'!N76)</f>
        <v>-</v>
      </c>
      <c r="O76" s="183">
        <f>IF('[1]Annual Parameters Source'!O76="","-",'[1]Annual Parameters Source'!O76)</f>
        <v>2.0787405443449369</v>
      </c>
      <c r="P76" s="184">
        <f>IF('[1]Annual Parameters Source'!P76="","-",'[1]Annual Parameters Source'!P76)</f>
        <v>214.72873932630336</v>
      </c>
      <c r="Q76" s="182" t="str">
        <f>IF('[1]Annual Parameters Source'!Q76="","-",'[1]Annual Parameters Source'!Q76)</f>
        <v>-</v>
      </c>
      <c r="R76" s="183">
        <f>IF('[1]Annual Parameters Source'!R76="","-",'[1]Annual Parameters Source'!R76)</f>
        <v>2.0787405443449369</v>
      </c>
      <c r="S76" s="184">
        <f>IF('[1]Annual Parameters Source'!S76="","-",'[1]Annual Parameters Source'!S76)</f>
        <v>184.96316996756352</v>
      </c>
      <c r="T76" s="183">
        <f>IF('[1]Annual Parameters Source'!T76="","-",'[1]Annual Parameters Source'!T76)</f>
        <v>2.0787405443449369</v>
      </c>
      <c r="U76" s="183">
        <f>IF('[1]Annual Parameters Source'!U76="","-",'[1]Annual Parameters Source'!U76)</f>
        <v>2.0787405443449369</v>
      </c>
      <c r="V76" s="185">
        <f>IF('[1]Annual Parameters Source'!V76="","-",'[1]Annual Parameters Source'!V76)</f>
        <v>167.14897164092113</v>
      </c>
      <c r="W76" s="186">
        <f>IF('[1]Annual Parameters Source'!W76="","-",'[1]Annual Parameters Source'!W76)</f>
        <v>167.14897164092113</v>
      </c>
    </row>
    <row r="77" spans="1:23" ht="13.5" customHeight="1" x14ac:dyDescent="0.25">
      <c r="A77" s="180"/>
      <c r="B77" s="85">
        <v>2038</v>
      </c>
      <c r="C77" s="138"/>
      <c r="D77" s="181">
        <f>IF('[1]Annual Parameters Source'!D77="","-",'[1]Annual Parameters Source'!D77/VLOOKUP($B$14,'[1]Annual Parameters Source'!$B$29:$D$139,3,1)*100)</f>
        <v>176.26127712403209</v>
      </c>
      <c r="E77" s="182" t="str">
        <f>IF('[1]Annual Parameters Source'!E77="","-",'[1]Annual Parameters Source'!E77)</f>
        <v>-</v>
      </c>
      <c r="F77" s="183">
        <f>IF('[1]Annual Parameters Source'!F77="","-",'[1]Annual Parameters Source'!F77)</f>
        <v>2.5</v>
      </c>
      <c r="G77" s="184">
        <f>IF('[1]Annual Parameters Source'!G77="","-",'[1]Annual Parameters Source'!G77)</f>
        <v>282.79352365853885</v>
      </c>
      <c r="H77" s="182" t="str">
        <f>IF('[1]Annual Parameters Source'!H77="","-",'[1]Annual Parameters Source'!H77)</f>
        <v>-</v>
      </c>
      <c r="I77" s="183">
        <f>IF('[1]Annual Parameters Source'!I77="","-",'[1]Annual Parameters Source'!I77)</f>
        <v>0.39927227514457986</v>
      </c>
      <c r="J77" s="184">
        <f>IF('[1]Annual Parameters Source'!J77="","-",'[1]Annual Parameters Source'!J77)</f>
        <v>128.99889331510212</v>
      </c>
      <c r="K77" s="182" t="str">
        <f>IF('[1]Annual Parameters Source'!K77="","-",'[1]Annual Parameters Source'!K77)</f>
        <v>-</v>
      </c>
      <c r="L77" s="183">
        <f>IF('[1]Annual Parameters Source'!L77="","-",'[1]Annual Parameters Source'!L77)</f>
        <v>0.39927227514457986</v>
      </c>
      <c r="M77" s="184">
        <f>IF('[1]Annual Parameters Source'!M77="","-",'[1]Annual Parameters Source'!M77)</f>
        <v>134.81243992613071</v>
      </c>
      <c r="N77" s="182" t="str">
        <f>IF('[1]Annual Parameters Source'!N77="","-",'[1]Annual Parameters Source'!N77)</f>
        <v>-</v>
      </c>
      <c r="O77" s="183">
        <f>IF('[1]Annual Parameters Source'!O77="","-",'[1]Annual Parameters Source'!O77)</f>
        <v>2.092373457746155</v>
      </c>
      <c r="P77" s="184">
        <f>IF('[1]Annual Parameters Source'!P77="","-",'[1]Annual Parameters Source'!P77)</f>
        <v>219.22166647411984</v>
      </c>
      <c r="Q77" s="182" t="str">
        <f>IF('[1]Annual Parameters Source'!Q77="","-",'[1]Annual Parameters Source'!Q77)</f>
        <v>-</v>
      </c>
      <c r="R77" s="183">
        <f>IF('[1]Annual Parameters Source'!R77="","-",'[1]Annual Parameters Source'!R77)</f>
        <v>2.092373457746155</v>
      </c>
      <c r="S77" s="184">
        <f>IF('[1]Annual Parameters Source'!S77="","-",'[1]Annual Parameters Source'!S77)</f>
        <v>188.83329024257074</v>
      </c>
      <c r="T77" s="183">
        <f>IF('[1]Annual Parameters Source'!T77="","-",'[1]Annual Parameters Source'!T77)</f>
        <v>2.092373457746155</v>
      </c>
      <c r="U77" s="183">
        <f>IF('[1]Annual Parameters Source'!U77="","-",'[1]Annual Parameters Source'!U77)</f>
        <v>2.092373457746155</v>
      </c>
      <c r="V77" s="185">
        <f>IF('[1]Annual Parameters Source'!V77="","-",'[1]Annual Parameters Source'!V77)</f>
        <v>170.64635235843141</v>
      </c>
      <c r="W77" s="186">
        <f>IF('[1]Annual Parameters Source'!W77="","-",'[1]Annual Parameters Source'!W77)</f>
        <v>170.64635235843141</v>
      </c>
    </row>
    <row r="78" spans="1:23" ht="13.5" customHeight="1" x14ac:dyDescent="0.25">
      <c r="A78" s="180"/>
      <c r="B78" s="85">
        <v>2039</v>
      </c>
      <c r="C78" s="138"/>
      <c r="D78" s="181">
        <f>IF('[1]Annual Parameters Source'!D78="","-",'[1]Annual Parameters Source'!D78/VLOOKUP($B$14,'[1]Annual Parameters Source'!$B$29:$D$139,3,1)*100)</f>
        <v>180.31528649788478</v>
      </c>
      <c r="E78" s="182" t="str">
        <f>IF('[1]Annual Parameters Source'!E78="","-",'[1]Annual Parameters Source'!E78)</f>
        <v>-</v>
      </c>
      <c r="F78" s="183">
        <f>IF('[1]Annual Parameters Source'!F78="","-",'[1]Annual Parameters Source'!F78)</f>
        <v>2.5</v>
      </c>
      <c r="G78" s="184">
        <f>IF('[1]Annual Parameters Source'!G78="","-",'[1]Annual Parameters Source'!G78)</f>
        <v>289.86336175000235</v>
      </c>
      <c r="H78" s="182" t="str">
        <f>IF('[1]Annual Parameters Source'!H78="","-",'[1]Annual Parameters Source'!H78)</f>
        <v>-</v>
      </c>
      <c r="I78" s="183">
        <f>IF('[1]Annual Parameters Source'!I78="","-",'[1]Annual Parameters Source'!I78)</f>
        <v>0.39927227514457986</v>
      </c>
      <c r="J78" s="184">
        <f>IF('[1]Annual Parameters Source'!J78="","-",'[1]Annual Parameters Source'!J78)</f>
        <v>129.51395013135266</v>
      </c>
      <c r="K78" s="182" t="str">
        <f>IF('[1]Annual Parameters Source'!K78="","-",'[1]Annual Parameters Source'!K78)</f>
        <v>-</v>
      </c>
      <c r="L78" s="183">
        <f>IF('[1]Annual Parameters Source'!L78="","-",'[1]Annual Parameters Source'!L78)</f>
        <v>0.39927227514457986</v>
      </c>
      <c r="M78" s="184">
        <f>IF('[1]Annual Parameters Source'!M78="","-",'[1]Annual Parameters Source'!M78)</f>
        <v>135.35070862220169</v>
      </c>
      <c r="N78" s="182" t="str">
        <f>IF('[1]Annual Parameters Source'!N78="","-",'[1]Annual Parameters Source'!N78)</f>
        <v>-</v>
      </c>
      <c r="O78" s="183">
        <f>IF('[1]Annual Parameters Source'!O78="","-",'[1]Annual Parameters Source'!O78)</f>
        <v>2.092373457746155</v>
      </c>
      <c r="P78" s="184">
        <f>IF('[1]Annual Parameters Source'!P78="","-",'[1]Annual Parameters Source'!P78)</f>
        <v>223.80860243705311</v>
      </c>
      <c r="Q78" s="182" t="str">
        <f>IF('[1]Annual Parameters Source'!Q78="","-",'[1]Annual Parameters Source'!Q78)</f>
        <v>-</v>
      </c>
      <c r="R78" s="183">
        <f>IF('[1]Annual Parameters Source'!R78="","-",'[1]Annual Parameters Source'!R78)</f>
        <v>2.092373457746155</v>
      </c>
      <c r="S78" s="184">
        <f>IF('[1]Annual Parameters Source'!S78="","-",'[1]Annual Parameters Source'!S78)</f>
        <v>192.78438788699503</v>
      </c>
      <c r="T78" s="183">
        <f>IF('[1]Annual Parameters Source'!T78="","-",'[1]Annual Parameters Source'!T78)</f>
        <v>2.092373457746155</v>
      </c>
      <c r="U78" s="183">
        <f>IF('[1]Annual Parameters Source'!U78="","-",'[1]Annual Parameters Source'!U78)</f>
        <v>2.092373457746155</v>
      </c>
      <c r="V78" s="185">
        <f>IF('[1]Annual Parameters Source'!V78="","-",'[1]Annual Parameters Source'!V78)</f>
        <v>174.21691134179122</v>
      </c>
      <c r="W78" s="186">
        <f>IF('[1]Annual Parameters Source'!W78="","-",'[1]Annual Parameters Source'!W78)</f>
        <v>174.21691134179122</v>
      </c>
    </row>
    <row r="79" spans="1:23" ht="13.5" customHeight="1" x14ac:dyDescent="0.25">
      <c r="A79" s="180"/>
      <c r="B79" s="85">
        <v>2040</v>
      </c>
      <c r="C79" s="138"/>
      <c r="D79" s="181">
        <f>IF('[1]Annual Parameters Source'!D79="","-",'[1]Annual Parameters Source'!D79/VLOOKUP($B$14,'[1]Annual Parameters Source'!$B$29:$D$139,3,1)*100)</f>
        <v>184.46253808733613</v>
      </c>
      <c r="E79" s="182" t="str">
        <f>IF('[1]Annual Parameters Source'!E79="","-",'[1]Annual Parameters Source'!E79)</f>
        <v>-</v>
      </c>
      <c r="F79" s="183">
        <f>IF('[1]Annual Parameters Source'!F79="","-",'[1]Annual Parameters Source'!F79)</f>
        <v>2.5</v>
      </c>
      <c r="G79" s="184">
        <f>IF('[1]Annual Parameters Source'!G79="","-",'[1]Annual Parameters Source'!G79)</f>
        <v>297.10994579375239</v>
      </c>
      <c r="H79" s="182" t="str">
        <f>IF('[1]Annual Parameters Source'!H79="","-",'[1]Annual Parameters Source'!H79)</f>
        <v>-</v>
      </c>
      <c r="I79" s="183">
        <f>IF('[1]Annual Parameters Source'!I79="","-",'[1]Annual Parameters Source'!I79)</f>
        <v>0.39927227514457986</v>
      </c>
      <c r="J79" s="184">
        <f>IF('[1]Annual Parameters Source'!J79="","-",'[1]Annual Parameters Source'!J79)</f>
        <v>130.03106342667172</v>
      </c>
      <c r="K79" s="182" t="str">
        <f>IF('[1]Annual Parameters Source'!K79="","-",'[1]Annual Parameters Source'!K79)</f>
        <v>-</v>
      </c>
      <c r="L79" s="183">
        <f>IF('[1]Annual Parameters Source'!L79="","-",'[1]Annual Parameters Source'!L79)</f>
        <v>0.39927227514457986</v>
      </c>
      <c r="M79" s="184">
        <f>IF('[1]Annual Parameters Source'!M79="","-",'[1]Annual Parameters Source'!M79)</f>
        <v>135.89112647594186</v>
      </c>
      <c r="N79" s="182" t="str">
        <f>IF('[1]Annual Parameters Source'!N79="","-",'[1]Annual Parameters Source'!N79)</f>
        <v>-</v>
      </c>
      <c r="O79" s="183">
        <f>IF('[1]Annual Parameters Source'!O79="","-",'[1]Annual Parameters Source'!O79)</f>
        <v>2.092373457746155</v>
      </c>
      <c r="P79" s="184">
        <f>IF('[1]Annual Parameters Source'!P79="","-",'[1]Annual Parameters Source'!P79)</f>
        <v>228.49151423059863</v>
      </c>
      <c r="Q79" s="182" t="str">
        <f>IF('[1]Annual Parameters Source'!Q79="","-",'[1]Annual Parameters Source'!Q79)</f>
        <v>-</v>
      </c>
      <c r="R79" s="183">
        <f>IF('[1]Annual Parameters Source'!R79="","-",'[1]Annual Parameters Source'!R79)</f>
        <v>2.092373457746155</v>
      </c>
      <c r="S79" s="184">
        <f>IF('[1]Annual Parameters Source'!S79="","-",'[1]Annual Parameters Source'!S79)</f>
        <v>196.8181572498209</v>
      </c>
      <c r="T79" s="183">
        <f>IF('[1]Annual Parameters Source'!T79="","-",'[1]Annual Parameters Source'!T79)</f>
        <v>2.092373457746155</v>
      </c>
      <c r="U79" s="183">
        <f>IF('[1]Annual Parameters Source'!U79="","-",'[1]Annual Parameters Source'!U79)</f>
        <v>2.092373457746155</v>
      </c>
      <c r="V79" s="185">
        <f>IF('[1]Annual Parameters Source'!V79="","-",'[1]Annual Parameters Source'!V79)</f>
        <v>177.862179753612</v>
      </c>
      <c r="W79" s="186">
        <f>IF('[1]Annual Parameters Source'!W79="","-",'[1]Annual Parameters Source'!W79)</f>
        <v>177.862179753612</v>
      </c>
    </row>
    <row r="80" spans="1:23" ht="13.5" customHeight="1" x14ac:dyDescent="0.25">
      <c r="A80" s="180"/>
      <c r="B80" s="85">
        <v>2041</v>
      </c>
      <c r="C80" s="138"/>
      <c r="D80" s="181">
        <f>IF('[1]Annual Parameters Source'!D80="","-",'[1]Annual Parameters Source'!D80/VLOOKUP($B$14,'[1]Annual Parameters Source'!$B$29:$D$139,3,1)*100)</f>
        <v>188.70517646334483</v>
      </c>
      <c r="E80" s="182" t="str">
        <f>IF('[1]Annual Parameters Source'!E80="","-",'[1]Annual Parameters Source'!E80)</f>
        <v>-</v>
      </c>
      <c r="F80" s="183">
        <f>IF('[1]Annual Parameters Source'!F80="","-",'[1]Annual Parameters Source'!F80)</f>
        <v>2.5</v>
      </c>
      <c r="G80" s="184">
        <f>IF('[1]Annual Parameters Source'!G80="","-",'[1]Annual Parameters Source'!G80)</f>
        <v>304.53769443859619</v>
      </c>
      <c r="H80" s="182" t="str">
        <f>IF('[1]Annual Parameters Source'!H80="","-",'[1]Annual Parameters Source'!H80)</f>
        <v>-</v>
      </c>
      <c r="I80" s="183">
        <f>IF('[1]Annual Parameters Source'!I80="","-",'[1]Annual Parameters Source'!I80)</f>
        <v>0.39927227514457986</v>
      </c>
      <c r="J80" s="184">
        <f>IF('[1]Annual Parameters Source'!J80="","-",'[1]Annual Parameters Source'!J80)</f>
        <v>130.55024141201008</v>
      </c>
      <c r="K80" s="182" t="str">
        <f>IF('[1]Annual Parameters Source'!K80="","-",'[1]Annual Parameters Source'!K80)</f>
        <v>-</v>
      </c>
      <c r="L80" s="183">
        <f>IF('[1]Annual Parameters Source'!L80="","-",'[1]Annual Parameters Source'!L80)</f>
        <v>0.39927227514457986</v>
      </c>
      <c r="M80" s="184">
        <f>IF('[1]Annual Parameters Source'!M80="","-",'[1]Annual Parameters Source'!M80)</f>
        <v>136.43370206834194</v>
      </c>
      <c r="N80" s="182" t="str">
        <f>IF('[1]Annual Parameters Source'!N80="","-",'[1]Annual Parameters Source'!N80)</f>
        <v>-</v>
      </c>
      <c r="O80" s="183">
        <f>IF('[1]Annual Parameters Source'!O80="","-",'[1]Annual Parameters Source'!O80)</f>
        <v>2.092373457746155</v>
      </c>
      <c r="P80" s="184">
        <f>IF('[1]Annual Parameters Source'!P80="","-",'[1]Annual Parameters Source'!P80)</f>
        <v>233.27241002756193</v>
      </c>
      <c r="Q80" s="182" t="str">
        <f>IF('[1]Annual Parameters Source'!Q80="","-",'[1]Annual Parameters Source'!Q80)</f>
        <v>-</v>
      </c>
      <c r="R80" s="183">
        <f>IF('[1]Annual Parameters Source'!R80="","-",'[1]Annual Parameters Source'!R80)</f>
        <v>2.092373457746155</v>
      </c>
      <c r="S80" s="184">
        <f>IF('[1]Annual Parameters Source'!S80="","-",'[1]Annual Parameters Source'!S80)</f>
        <v>200.93632813214126</v>
      </c>
      <c r="T80" s="183">
        <f>IF('[1]Annual Parameters Source'!T80="","-",'[1]Annual Parameters Source'!T80)</f>
        <v>2.092373457746155</v>
      </c>
      <c r="U80" s="183">
        <f>IF('[1]Annual Parameters Source'!U80="","-",'[1]Annual Parameters Source'!U80)</f>
        <v>2.092373457746155</v>
      </c>
      <c r="V80" s="185">
        <f>IF('[1]Annual Parameters Source'!V80="","-",'[1]Annual Parameters Source'!V80)</f>
        <v>181.58372079414534</v>
      </c>
      <c r="W80" s="186">
        <f>IF('[1]Annual Parameters Source'!W80="","-",'[1]Annual Parameters Source'!W80)</f>
        <v>181.58372079414534</v>
      </c>
    </row>
    <row r="81" spans="1:23" ht="13.5" customHeight="1" x14ac:dyDescent="0.25">
      <c r="A81" s="180"/>
      <c r="B81" s="85">
        <v>2042</v>
      </c>
      <c r="C81" s="138"/>
      <c r="D81" s="181">
        <f>IF('[1]Annual Parameters Source'!D81="","-",'[1]Annual Parameters Source'!D81/VLOOKUP($B$14,'[1]Annual Parameters Source'!$B$29:$D$139,3,1)*100)</f>
        <v>193.04539552200174</v>
      </c>
      <c r="E81" s="182" t="str">
        <f>IF('[1]Annual Parameters Source'!E81="","-",'[1]Annual Parameters Source'!E81)</f>
        <v>-</v>
      </c>
      <c r="F81" s="183">
        <f>IF('[1]Annual Parameters Source'!F81="","-",'[1]Annual Parameters Source'!F81)</f>
        <v>2.5</v>
      </c>
      <c r="G81" s="184">
        <f>IF('[1]Annual Parameters Source'!G81="","-",'[1]Annual Parameters Source'!G81)</f>
        <v>312.15113679956107</v>
      </c>
      <c r="H81" s="182" t="str">
        <f>IF('[1]Annual Parameters Source'!H81="","-",'[1]Annual Parameters Source'!H81)</f>
        <v>-</v>
      </c>
      <c r="I81" s="183">
        <f>IF('[1]Annual Parameters Source'!I81="","-",'[1]Annual Parameters Source'!I81)</f>
        <v>0.38114785390688244</v>
      </c>
      <c r="J81" s="184">
        <f>IF('[1]Annual Parameters Source'!J81="","-",'[1]Annual Parameters Source'!J81)</f>
        <v>131.04783085542221</v>
      </c>
      <c r="K81" s="182" t="str">
        <f>IF('[1]Annual Parameters Source'!K81="","-",'[1]Annual Parameters Source'!K81)</f>
        <v>-</v>
      </c>
      <c r="L81" s="183">
        <f>IF('[1]Annual Parameters Source'!L81="","-",'[1]Annual Parameters Source'!L81)</f>
        <v>0.38114785390688244</v>
      </c>
      <c r="M81" s="184">
        <f>IF('[1]Annual Parameters Source'!M81="","-",'[1]Annual Parameters Source'!M81)</f>
        <v>136.95371619578114</v>
      </c>
      <c r="N81" s="182" t="str">
        <f>IF('[1]Annual Parameters Source'!N81="","-",'[1]Annual Parameters Source'!N81)</f>
        <v>-</v>
      </c>
      <c r="O81" s="183">
        <f>IF('[1]Annual Parameters Source'!O81="","-",'[1]Annual Parameters Source'!O81)</f>
        <v>2.1108068510801159</v>
      </c>
      <c r="P81" s="184">
        <f>IF('[1]Annual Parameters Source'!P81="","-",'[1]Annual Parameters Source'!P81)</f>
        <v>238.19634004010339</v>
      </c>
      <c r="Q81" s="182" t="str">
        <f>IF('[1]Annual Parameters Source'!Q81="","-",'[1]Annual Parameters Source'!Q81)</f>
        <v>-</v>
      </c>
      <c r="R81" s="183">
        <f>IF('[1]Annual Parameters Source'!R81="","-",'[1]Annual Parameters Source'!R81)</f>
        <v>2.1108068510801159</v>
      </c>
      <c r="S81" s="184">
        <f>IF('[1]Annual Parameters Source'!S81="","-",'[1]Annual Parameters Source'!S81)</f>
        <v>205.1777059126633</v>
      </c>
      <c r="T81" s="183">
        <f>IF('[1]Annual Parameters Source'!T81="","-",'[1]Annual Parameters Source'!T81)</f>
        <v>2.1108068510801159</v>
      </c>
      <c r="U81" s="183">
        <f>IF('[1]Annual Parameters Source'!U81="","-",'[1]Annual Parameters Source'!U81)</f>
        <v>2.1108068510801159</v>
      </c>
      <c r="V81" s="185">
        <f>IF('[1]Annual Parameters Source'!V81="","-",'[1]Annual Parameters Source'!V81)</f>
        <v>185.41660241311433</v>
      </c>
      <c r="W81" s="186">
        <f>IF('[1]Annual Parameters Source'!W81="","-",'[1]Annual Parameters Source'!W81)</f>
        <v>185.41660241311433</v>
      </c>
    </row>
    <row r="82" spans="1:23" ht="13.5" customHeight="1" x14ac:dyDescent="0.25">
      <c r="A82" s="180"/>
      <c r="B82" s="85">
        <v>2043</v>
      </c>
      <c r="C82" s="138"/>
      <c r="D82" s="181">
        <f>IF('[1]Annual Parameters Source'!D82="","-",'[1]Annual Parameters Source'!D82/VLOOKUP($B$14,'[1]Annual Parameters Source'!$B$29:$D$139,3,1)*100)</f>
        <v>197.48543961900776</v>
      </c>
      <c r="E82" s="182" t="str">
        <f>IF('[1]Annual Parameters Source'!E82="","-",'[1]Annual Parameters Source'!E82)</f>
        <v>-</v>
      </c>
      <c r="F82" s="183">
        <f>IF('[1]Annual Parameters Source'!F82="","-",'[1]Annual Parameters Source'!F82)</f>
        <v>2.5</v>
      </c>
      <c r="G82" s="184">
        <f>IF('[1]Annual Parameters Source'!G82="","-",'[1]Annual Parameters Source'!G82)</f>
        <v>319.95491521955012</v>
      </c>
      <c r="H82" s="182" t="str">
        <f>IF('[1]Annual Parameters Source'!H82="","-",'[1]Annual Parameters Source'!H82)</f>
        <v>-</v>
      </c>
      <c r="I82" s="183">
        <f>IF('[1]Annual Parameters Source'!I82="","-",'[1]Annual Parameters Source'!I82)</f>
        <v>0.38114785390688244</v>
      </c>
      <c r="J82" s="184">
        <f>IF('[1]Annual Parameters Source'!J82="","-",'[1]Annual Parameters Source'!J82)</f>
        <v>131.54731685031916</v>
      </c>
      <c r="K82" s="182" t="str">
        <f>IF('[1]Annual Parameters Source'!K82="","-",'[1]Annual Parameters Source'!K82)</f>
        <v>-</v>
      </c>
      <c r="L82" s="183">
        <f>IF('[1]Annual Parameters Source'!L82="","-",'[1]Annual Parameters Source'!L82)</f>
        <v>0.38114785390688244</v>
      </c>
      <c r="M82" s="184">
        <f>IF('[1]Annual Parameters Source'!M82="","-",'[1]Annual Parameters Source'!M82)</f>
        <v>137.47571234590708</v>
      </c>
      <c r="N82" s="182" t="str">
        <f>IF('[1]Annual Parameters Source'!N82="","-",'[1]Annual Parameters Source'!N82)</f>
        <v>-</v>
      </c>
      <c r="O82" s="183">
        <f>IF('[1]Annual Parameters Source'!O82="","-",'[1]Annual Parameters Source'!O82)</f>
        <v>2.1108068510801159</v>
      </c>
      <c r="P82" s="184">
        <f>IF('[1]Annual Parameters Source'!P82="","-",'[1]Annual Parameters Source'!P82)</f>
        <v>243.22420470469197</v>
      </c>
      <c r="Q82" s="182" t="str">
        <f>IF('[1]Annual Parameters Source'!Q82="","-",'[1]Annual Parameters Source'!Q82)</f>
        <v>-</v>
      </c>
      <c r="R82" s="183">
        <f>IF('[1]Annual Parameters Source'!R82="","-",'[1]Annual Parameters Source'!R82)</f>
        <v>2.1108068510801159</v>
      </c>
      <c r="S82" s="184">
        <f>IF('[1]Annual Parameters Source'!S82="","-",'[1]Annual Parameters Source'!S82)</f>
        <v>209.50861098595681</v>
      </c>
      <c r="T82" s="183">
        <f>IF('[1]Annual Parameters Source'!T82="","-",'[1]Annual Parameters Source'!T82)</f>
        <v>2.1108068510801159</v>
      </c>
      <c r="U82" s="183">
        <f>IF('[1]Annual Parameters Source'!U82="","-",'[1]Annual Parameters Source'!U82)</f>
        <v>2.1108068510801159</v>
      </c>
      <c r="V82" s="185">
        <f>IF('[1]Annual Parameters Source'!V82="","-",'[1]Annual Parameters Source'!V82)</f>
        <v>189.33038875989033</v>
      </c>
      <c r="W82" s="186">
        <f>IF('[1]Annual Parameters Source'!W82="","-",'[1]Annual Parameters Source'!W82)</f>
        <v>189.33038875989033</v>
      </c>
    </row>
    <row r="83" spans="1:23" ht="13.5" customHeight="1" x14ac:dyDescent="0.25">
      <c r="A83" s="180"/>
      <c r="B83" s="85">
        <v>2044</v>
      </c>
      <c r="C83" s="138"/>
      <c r="D83" s="181">
        <f>IF('[1]Annual Parameters Source'!D83="","-",'[1]Annual Parameters Source'!D83/VLOOKUP($B$14,'[1]Annual Parameters Source'!$B$29:$D$139,3,1)*100)</f>
        <v>202.02760473024489</v>
      </c>
      <c r="E83" s="182" t="str">
        <f>IF('[1]Annual Parameters Source'!E83="","-",'[1]Annual Parameters Source'!E83)</f>
        <v>-</v>
      </c>
      <c r="F83" s="183">
        <f>IF('[1]Annual Parameters Source'!F83="","-",'[1]Annual Parameters Source'!F83)</f>
        <v>2.5</v>
      </c>
      <c r="G83" s="184">
        <f>IF('[1]Annual Parameters Source'!G83="","-",'[1]Annual Parameters Source'!G83)</f>
        <v>327.95378810003888</v>
      </c>
      <c r="H83" s="182" t="str">
        <f>IF('[1]Annual Parameters Source'!H83="","-",'[1]Annual Parameters Source'!H83)</f>
        <v>-</v>
      </c>
      <c r="I83" s="183">
        <f>IF('[1]Annual Parameters Source'!I83="","-",'[1]Annual Parameters Source'!I83)</f>
        <v>0.38114785390688244</v>
      </c>
      <c r="J83" s="184">
        <f>IF('[1]Annual Parameters Source'!J83="","-",'[1]Annual Parameters Source'!J83)</f>
        <v>132.04870662536624</v>
      </c>
      <c r="K83" s="182" t="str">
        <f>IF('[1]Annual Parameters Source'!K83="","-",'[1]Annual Parameters Source'!K83)</f>
        <v>-</v>
      </c>
      <c r="L83" s="183">
        <f>IF('[1]Annual Parameters Source'!L83="","-",'[1]Annual Parameters Source'!L83)</f>
        <v>0.38114785390688244</v>
      </c>
      <c r="M83" s="184">
        <f>IF('[1]Annual Parameters Source'!M83="","-",'[1]Annual Parameters Source'!M83)</f>
        <v>137.99969807315671</v>
      </c>
      <c r="N83" s="182" t="str">
        <f>IF('[1]Annual Parameters Source'!N83="","-",'[1]Annual Parameters Source'!N83)</f>
        <v>-</v>
      </c>
      <c r="O83" s="183">
        <f>IF('[1]Annual Parameters Source'!O83="","-",'[1]Annual Parameters Source'!O83)</f>
        <v>2.1108068510801159</v>
      </c>
      <c r="P83" s="184">
        <f>IF('[1]Annual Parameters Source'!P83="","-",'[1]Annual Parameters Source'!P83)</f>
        <v>248.35819788108373</v>
      </c>
      <c r="Q83" s="182" t="str">
        <f>IF('[1]Annual Parameters Source'!Q83="","-",'[1]Annual Parameters Source'!Q83)</f>
        <v>-</v>
      </c>
      <c r="R83" s="183">
        <f>IF('[1]Annual Parameters Source'!R83="","-",'[1]Annual Parameters Source'!R83)</f>
        <v>2.1108068510801159</v>
      </c>
      <c r="S83" s="184">
        <f>IF('[1]Annual Parameters Source'!S83="","-",'[1]Annual Parameters Source'!S83)</f>
        <v>213.93093310025117</v>
      </c>
      <c r="T83" s="183">
        <f>IF('[1]Annual Parameters Source'!T83="","-",'[1]Annual Parameters Source'!T83)</f>
        <v>2.1108068510801159</v>
      </c>
      <c r="U83" s="183">
        <f>IF('[1]Annual Parameters Source'!U83="","-",'[1]Annual Parameters Source'!U83)</f>
        <v>2.1108068510801159</v>
      </c>
      <c r="V83" s="185">
        <f>IF('[1]Annual Parameters Source'!V83="","-",'[1]Annual Parameters Source'!V83)</f>
        <v>193.32678757701072</v>
      </c>
      <c r="W83" s="186">
        <f>IF('[1]Annual Parameters Source'!W83="","-",'[1]Annual Parameters Source'!W83)</f>
        <v>193.32678757701072</v>
      </c>
    </row>
    <row r="84" spans="1:23" ht="13.5" customHeight="1" x14ac:dyDescent="0.25">
      <c r="A84" s="180"/>
      <c r="B84" s="85">
        <v>2045</v>
      </c>
      <c r="C84" s="138"/>
      <c r="D84" s="181">
        <f>IF('[1]Annual Parameters Source'!D84="","-",'[1]Annual Parameters Source'!D84/VLOOKUP($B$14,'[1]Annual Parameters Source'!$B$29:$D$139,3,1)*100)</f>
        <v>206.67423963904054</v>
      </c>
      <c r="E84" s="182" t="str">
        <f>IF('[1]Annual Parameters Source'!E84="","-",'[1]Annual Parameters Source'!E84)</f>
        <v>-</v>
      </c>
      <c r="F84" s="183">
        <f>IF('[1]Annual Parameters Source'!F84="","-",'[1]Annual Parameters Source'!F84)</f>
        <v>2.5</v>
      </c>
      <c r="G84" s="184">
        <f>IF('[1]Annual Parameters Source'!G84="","-",'[1]Annual Parameters Source'!G84)</f>
        <v>336.15263280253987</v>
      </c>
      <c r="H84" s="182" t="str">
        <f>IF('[1]Annual Parameters Source'!H84="","-",'[1]Annual Parameters Source'!H84)</f>
        <v>-</v>
      </c>
      <c r="I84" s="183">
        <f>IF('[1]Annual Parameters Source'!I84="","-",'[1]Annual Parameters Source'!I84)</f>
        <v>0.38114785390688244</v>
      </c>
      <c r="J84" s="184">
        <f>IF('[1]Annual Parameters Source'!J84="","-",'[1]Annual Parameters Source'!J84)</f>
        <v>132.55200743678063</v>
      </c>
      <c r="K84" s="182" t="str">
        <f>IF('[1]Annual Parameters Source'!K84="","-",'[1]Annual Parameters Source'!K84)</f>
        <v>-</v>
      </c>
      <c r="L84" s="183">
        <f>IF('[1]Annual Parameters Source'!L84="","-",'[1]Annual Parameters Source'!L84)</f>
        <v>0.38114785390688244</v>
      </c>
      <c r="M84" s="184">
        <f>IF('[1]Annual Parameters Source'!M84="","-",'[1]Annual Parameters Source'!M84)</f>
        <v>138.52568096076052</v>
      </c>
      <c r="N84" s="182" t="str">
        <f>IF('[1]Annual Parameters Source'!N84="","-",'[1]Annual Parameters Source'!N84)</f>
        <v>-</v>
      </c>
      <c r="O84" s="183">
        <f>IF('[1]Annual Parameters Source'!O84="","-",'[1]Annual Parameters Source'!O84)</f>
        <v>2.1108068510801159</v>
      </c>
      <c r="P84" s="184">
        <f>IF('[1]Annual Parameters Source'!P84="","-",'[1]Annual Parameters Source'!P84)</f>
        <v>253.60055973717672</v>
      </c>
      <c r="Q84" s="182" t="str">
        <f>IF('[1]Annual Parameters Source'!Q84="","-",'[1]Annual Parameters Source'!Q84)</f>
        <v>-</v>
      </c>
      <c r="R84" s="183">
        <f>IF('[1]Annual Parameters Source'!R84="","-",'[1]Annual Parameters Source'!R84)</f>
        <v>2.1108068510801159</v>
      </c>
      <c r="S84" s="184">
        <f>IF('[1]Annual Parameters Source'!S84="","-",'[1]Annual Parameters Source'!S84)</f>
        <v>218.4466018927109</v>
      </c>
      <c r="T84" s="183">
        <f>IF('[1]Annual Parameters Source'!T84="","-",'[1]Annual Parameters Source'!T84)</f>
        <v>2.1108068510801159</v>
      </c>
      <c r="U84" s="183">
        <f>IF('[1]Annual Parameters Source'!U84="","-",'[1]Annual Parameters Source'!U84)</f>
        <v>2.1108068510801159</v>
      </c>
      <c r="V84" s="185">
        <f>IF('[1]Annual Parameters Source'!V84="","-",'[1]Annual Parameters Source'!V84)</f>
        <v>197.40754265415936</v>
      </c>
      <c r="W84" s="186">
        <f>IF('[1]Annual Parameters Source'!W84="","-",'[1]Annual Parameters Source'!W84)</f>
        <v>197.40754265415936</v>
      </c>
    </row>
    <row r="85" spans="1:23" ht="13.5" customHeight="1" x14ac:dyDescent="0.25">
      <c r="A85" s="180"/>
      <c r="B85" s="85">
        <v>2046</v>
      </c>
      <c r="C85" s="138"/>
      <c r="D85" s="181">
        <f>IF('[1]Annual Parameters Source'!D85="","-",'[1]Annual Parameters Source'!D85/VLOOKUP($B$14,'[1]Annual Parameters Source'!$B$29:$D$139,3,1)*100)</f>
        <v>211.42774715073847</v>
      </c>
      <c r="E85" s="182" t="str">
        <f>IF('[1]Annual Parameters Source'!E85="","-",'[1]Annual Parameters Source'!E85)</f>
        <v>-</v>
      </c>
      <c r="F85" s="183">
        <f>IF('[1]Annual Parameters Source'!F85="","-",'[1]Annual Parameters Source'!F85)</f>
        <v>2.6</v>
      </c>
      <c r="G85" s="184">
        <f>IF('[1]Annual Parameters Source'!G85="","-",'[1]Annual Parameters Source'!G85)</f>
        <v>344.89260125540591</v>
      </c>
      <c r="H85" s="182" t="str">
        <f>IF('[1]Annual Parameters Source'!H85="","-",'[1]Annual Parameters Source'!H85)</f>
        <v>-</v>
      </c>
      <c r="I85" s="183">
        <f>IF('[1]Annual Parameters Source'!I85="","-",'[1]Annual Parameters Source'!I85)</f>
        <v>0.38114785390688244</v>
      </c>
      <c r="J85" s="184">
        <f>IF('[1]Annual Parameters Source'!J85="","-",'[1]Annual Parameters Source'!J85)</f>
        <v>133.05722656843639</v>
      </c>
      <c r="K85" s="182" t="str">
        <f>IF('[1]Annual Parameters Source'!K85="","-",'[1]Annual Parameters Source'!K85)</f>
        <v>-</v>
      </c>
      <c r="L85" s="183">
        <f>IF('[1]Annual Parameters Source'!L85="","-",'[1]Annual Parameters Source'!L85)</f>
        <v>0.38114785390688244</v>
      </c>
      <c r="M85" s="184">
        <f>IF('[1]Annual Parameters Source'!M85="","-",'[1]Annual Parameters Source'!M85)</f>
        <v>139.05366862085236</v>
      </c>
      <c r="N85" s="182" t="str">
        <f>IF('[1]Annual Parameters Source'!N85="","-",'[1]Annual Parameters Source'!N85)</f>
        <v>-</v>
      </c>
      <c r="O85" s="183">
        <f>IF('[1]Annual Parameters Source'!O85="","-",'[1]Annual Parameters Source'!O85)</f>
        <v>2.2104271504470141</v>
      </c>
      <c r="P85" s="184">
        <f>IF('[1]Annual Parameters Source'!P85="","-",'[1]Annual Parameters Source'!P85)</f>
        <v>259.20621536329293</v>
      </c>
      <c r="Q85" s="182" t="str">
        <f>IF('[1]Annual Parameters Source'!Q85="","-",'[1]Annual Parameters Source'!Q85)</f>
        <v>-</v>
      </c>
      <c r="R85" s="183">
        <f>IF('[1]Annual Parameters Source'!R85="","-",'[1]Annual Parameters Source'!R85)</f>
        <v>2.2104271504470141</v>
      </c>
      <c r="S85" s="184">
        <f>IF('[1]Annual Parameters Source'!S85="","-",'[1]Annual Parameters Source'!S85)</f>
        <v>223.27520489017627</v>
      </c>
      <c r="T85" s="183">
        <f>IF('[1]Annual Parameters Source'!T85="","-",'[1]Annual Parameters Source'!T85)</f>
        <v>2.2104271504470141</v>
      </c>
      <c r="U85" s="183">
        <f>IF('[1]Annual Parameters Source'!U85="","-",'[1]Annual Parameters Source'!U85)</f>
        <v>2.2104271504470141</v>
      </c>
      <c r="V85" s="185">
        <f>IF('[1]Annual Parameters Source'!V85="","-",'[1]Annual Parameters Source'!V85)</f>
        <v>201.77109257401716</v>
      </c>
      <c r="W85" s="186">
        <f>IF('[1]Annual Parameters Source'!W85="","-",'[1]Annual Parameters Source'!W85)</f>
        <v>201.77109257401716</v>
      </c>
    </row>
    <row r="86" spans="1:23" ht="13.5" customHeight="1" x14ac:dyDescent="0.25">
      <c r="A86" s="180"/>
      <c r="B86" s="85">
        <v>2047</v>
      </c>
      <c r="C86" s="138"/>
      <c r="D86" s="181">
        <f>IF('[1]Annual Parameters Source'!D86="","-",'[1]Annual Parameters Source'!D86/VLOOKUP($B$14,'[1]Annual Parameters Source'!$B$29:$D$139,3,1)*100)</f>
        <v>216.29058533520544</v>
      </c>
      <c r="E86" s="182" t="str">
        <f>IF('[1]Annual Parameters Source'!E86="","-",'[1]Annual Parameters Source'!E86)</f>
        <v>-</v>
      </c>
      <c r="F86" s="183">
        <f>IF('[1]Annual Parameters Source'!F86="","-",'[1]Annual Parameters Source'!F86)</f>
        <v>2.5</v>
      </c>
      <c r="G86" s="184">
        <f>IF('[1]Annual Parameters Source'!G86="","-",'[1]Annual Parameters Source'!G86)</f>
        <v>353.51491628679105</v>
      </c>
      <c r="H86" s="182" t="str">
        <f>IF('[1]Annual Parameters Source'!H86="","-",'[1]Annual Parameters Source'!H86)</f>
        <v>-</v>
      </c>
      <c r="I86" s="183">
        <f>IF('[1]Annual Parameters Source'!I86="","-",'[1]Annual Parameters Source'!I86)</f>
        <v>0.35468719653994896</v>
      </c>
      <c r="J86" s="184">
        <f>IF('[1]Annual Parameters Source'!J86="","-",'[1]Annual Parameters Source'!J86)</f>
        <v>133.52916351514577</v>
      </c>
      <c r="K86" s="182" t="str">
        <f>IF('[1]Annual Parameters Source'!K86="","-",'[1]Annual Parameters Source'!K86)</f>
        <v>-</v>
      </c>
      <c r="L86" s="183">
        <f>IF('[1]Annual Parameters Source'!L86="","-",'[1]Annual Parameters Source'!L86)</f>
        <v>0.35468719653994896</v>
      </c>
      <c r="M86" s="184">
        <f>IF('[1]Annual Parameters Source'!M86="","-",'[1]Annual Parameters Source'!M86)</f>
        <v>139.54687417976959</v>
      </c>
      <c r="N86" s="182" t="str">
        <f>IF('[1]Annual Parameters Source'!N86="","-",'[1]Annual Parameters Source'!N86)</f>
        <v>-</v>
      </c>
      <c r="O86" s="183">
        <f>IF('[1]Annual Parameters Source'!O86="","-",'[1]Annual Parameters Source'!O86)</f>
        <v>2.1377305469136409</v>
      </c>
      <c r="P86" s="184">
        <f>IF('[1]Annual Parameters Source'!P86="","-",'[1]Annual Parameters Source'!P86)</f>
        <v>264.74734580861281</v>
      </c>
      <c r="Q86" s="182" t="str">
        <f>IF('[1]Annual Parameters Source'!Q86="","-",'[1]Annual Parameters Source'!Q86)</f>
        <v>-</v>
      </c>
      <c r="R86" s="183">
        <f>IF('[1]Annual Parameters Source'!R86="","-",'[1]Annual Parameters Source'!R86)</f>
        <v>2.1377305469136409</v>
      </c>
      <c r="S86" s="184">
        <f>IF('[1]Annual Parameters Source'!S86="","-",'[1]Annual Parameters Source'!S86)</f>
        <v>228.04822714879759</v>
      </c>
      <c r="T86" s="183">
        <f>IF('[1]Annual Parameters Source'!T86="","-",'[1]Annual Parameters Source'!T86)</f>
        <v>2.1377305469136409</v>
      </c>
      <c r="U86" s="183">
        <f>IF('[1]Annual Parameters Source'!U86="","-",'[1]Annual Parameters Source'!U86)</f>
        <v>2.1377305469136409</v>
      </c>
      <c r="V86" s="185">
        <f>IF('[1]Annual Parameters Source'!V86="","-",'[1]Annual Parameters Source'!V86)</f>
        <v>206.08441485481333</v>
      </c>
      <c r="W86" s="186">
        <f>IF('[1]Annual Parameters Source'!W86="","-",'[1]Annual Parameters Source'!W86)</f>
        <v>206.08441485481333</v>
      </c>
    </row>
    <row r="87" spans="1:23" ht="13.5" customHeight="1" x14ac:dyDescent="0.25">
      <c r="A87" s="180"/>
      <c r="B87" s="85">
        <v>2048</v>
      </c>
      <c r="C87" s="138"/>
      <c r="D87" s="181">
        <f>IF('[1]Annual Parameters Source'!D87="","-",'[1]Annual Parameters Source'!D87/VLOOKUP($B$14,'[1]Annual Parameters Source'!$B$29:$D$139,3,1)*100)</f>
        <v>221.26526879791513</v>
      </c>
      <c r="E87" s="182" t="str">
        <f>IF('[1]Annual Parameters Source'!E87="","-",'[1]Annual Parameters Source'!E87)</f>
        <v>-</v>
      </c>
      <c r="F87" s="183">
        <f>IF('[1]Annual Parameters Source'!F87="","-",'[1]Annual Parameters Source'!F87)</f>
        <v>2.5</v>
      </c>
      <c r="G87" s="184">
        <f>IF('[1]Annual Parameters Source'!G87="","-",'[1]Annual Parameters Source'!G87)</f>
        <v>362.35278919396086</v>
      </c>
      <c r="H87" s="182" t="str">
        <f>IF('[1]Annual Parameters Source'!H87="","-",'[1]Annual Parameters Source'!H87)</f>
        <v>-</v>
      </c>
      <c r="I87" s="183">
        <f>IF('[1]Annual Parameters Source'!I87="","-",'[1]Annual Parameters Source'!I87)</f>
        <v>0.35468719653994896</v>
      </c>
      <c r="J87" s="184">
        <f>IF('[1]Annual Parameters Source'!J87="","-",'[1]Annual Parameters Source'!J87)</f>
        <v>134.00277436178087</v>
      </c>
      <c r="K87" s="182" t="str">
        <f>IF('[1]Annual Parameters Source'!K87="","-",'[1]Annual Parameters Source'!K87)</f>
        <v>-</v>
      </c>
      <c r="L87" s="183">
        <f>IF('[1]Annual Parameters Source'!L87="","-",'[1]Annual Parameters Source'!L87)</f>
        <v>0.35468719653994896</v>
      </c>
      <c r="M87" s="184">
        <f>IF('[1]Annual Parameters Source'!M87="","-",'[1]Annual Parameters Source'!M87)</f>
        <v>140.04182907565692</v>
      </c>
      <c r="N87" s="182" t="str">
        <f>IF('[1]Annual Parameters Source'!N87="","-",'[1]Annual Parameters Source'!N87)</f>
        <v>-</v>
      </c>
      <c r="O87" s="183">
        <f>IF('[1]Annual Parameters Source'!O87="","-",'[1]Annual Parameters Source'!O87)</f>
        <v>2.1377305469136409</v>
      </c>
      <c r="P87" s="184">
        <f>IF('[1]Annual Parameters Source'!P87="","-",'[1]Annual Parameters Source'!P87)</f>
        <v>270.40693069210664</v>
      </c>
      <c r="Q87" s="182" t="str">
        <f>IF('[1]Annual Parameters Source'!Q87="","-",'[1]Annual Parameters Source'!Q87)</f>
        <v>-</v>
      </c>
      <c r="R87" s="183">
        <f>IF('[1]Annual Parameters Source'!R87="","-",'[1]Annual Parameters Source'!R87)</f>
        <v>2.1377305469136409</v>
      </c>
      <c r="S87" s="184">
        <f>IF('[1]Annual Parameters Source'!S87="","-",'[1]Annual Parameters Source'!S87)</f>
        <v>232.92328376225248</v>
      </c>
      <c r="T87" s="183">
        <f>IF('[1]Annual Parameters Source'!T87="","-",'[1]Annual Parameters Source'!T87)</f>
        <v>2.1377305469136409</v>
      </c>
      <c r="U87" s="183">
        <f>IF('[1]Annual Parameters Source'!U87="","-",'[1]Annual Parameters Source'!U87)</f>
        <v>2.1377305469136409</v>
      </c>
      <c r="V87" s="185">
        <f>IF('[1]Annual Parameters Source'!V87="","-",'[1]Annual Parameters Source'!V87)</f>
        <v>210.4899443435929</v>
      </c>
      <c r="W87" s="186">
        <f>IF('[1]Annual Parameters Source'!W87="","-",'[1]Annual Parameters Source'!W87)</f>
        <v>210.4899443435929</v>
      </c>
    </row>
    <row r="88" spans="1:23" ht="13.5" customHeight="1" x14ac:dyDescent="0.25">
      <c r="A88" s="180"/>
      <c r="B88" s="85">
        <v>2049</v>
      </c>
      <c r="C88" s="138"/>
      <c r="D88" s="181">
        <f>IF('[1]Annual Parameters Source'!D88="","-",'[1]Annual Parameters Source'!D88/VLOOKUP($B$14,'[1]Annual Parameters Source'!$B$29:$D$139,3,1)*100)</f>
        <v>226.35436998026717</v>
      </c>
      <c r="E88" s="182" t="str">
        <f>IF('[1]Annual Parameters Source'!E88="","-",'[1]Annual Parameters Source'!E88)</f>
        <v>-</v>
      </c>
      <c r="F88" s="183">
        <f>IF('[1]Annual Parameters Source'!F88="","-",'[1]Annual Parameters Source'!F88)</f>
        <v>2.5</v>
      </c>
      <c r="G88" s="184">
        <f>IF('[1]Annual Parameters Source'!G88="","-",'[1]Annual Parameters Source'!G88)</f>
        <v>371.41160892380992</v>
      </c>
      <c r="H88" s="182" t="str">
        <f>IF('[1]Annual Parameters Source'!H88="","-",'[1]Annual Parameters Source'!H88)</f>
        <v>-</v>
      </c>
      <c r="I88" s="183">
        <f>IF('[1]Annual Parameters Source'!I88="","-",'[1]Annual Parameters Source'!I88)</f>
        <v>0.35468719653994896</v>
      </c>
      <c r="J88" s="184">
        <f>IF('[1]Annual Parameters Source'!J88="","-",'[1]Annual Parameters Source'!J88)</f>
        <v>134.47806504545039</v>
      </c>
      <c r="K88" s="182" t="str">
        <f>IF('[1]Annual Parameters Source'!K88="","-",'[1]Annual Parameters Source'!K88)</f>
        <v>-</v>
      </c>
      <c r="L88" s="183">
        <f>IF('[1]Annual Parameters Source'!L88="","-",'[1]Annual Parameters Source'!L88)</f>
        <v>0.35468719653994896</v>
      </c>
      <c r="M88" s="184">
        <f>IF('[1]Annual Parameters Source'!M88="","-",'[1]Annual Parameters Source'!M88)</f>
        <v>140.53853951318862</v>
      </c>
      <c r="N88" s="182" t="str">
        <f>IF('[1]Annual Parameters Source'!N88="","-",'[1]Annual Parameters Source'!N88)</f>
        <v>-</v>
      </c>
      <c r="O88" s="183">
        <f>IF('[1]Annual Parameters Source'!O88="","-",'[1]Annual Parameters Source'!O88)</f>
        <v>2.1377305469136409</v>
      </c>
      <c r="P88" s="184">
        <f>IF('[1]Annual Parameters Source'!P88="","-",'[1]Annual Parameters Source'!P88)</f>
        <v>276.18750225048342</v>
      </c>
      <c r="Q88" s="182" t="str">
        <f>IF('[1]Annual Parameters Source'!Q88="","-",'[1]Annual Parameters Source'!Q88)</f>
        <v>-</v>
      </c>
      <c r="R88" s="183">
        <f>IF('[1]Annual Parameters Source'!R88="","-",'[1]Annual Parameters Source'!R88)</f>
        <v>2.1377305469136409</v>
      </c>
      <c r="S88" s="184">
        <f>IF('[1]Annual Parameters Source'!S88="","-",'[1]Annual Parameters Source'!S88)</f>
        <v>237.90255595011251</v>
      </c>
      <c r="T88" s="183">
        <f>IF('[1]Annual Parameters Source'!T88="","-",'[1]Annual Parameters Source'!T88)</f>
        <v>2.1377305469136409</v>
      </c>
      <c r="U88" s="183">
        <f>IF('[1]Annual Parameters Source'!U88="","-",'[1]Annual Parameters Source'!U88)</f>
        <v>2.1377305469136409</v>
      </c>
      <c r="V88" s="185">
        <f>IF('[1]Annual Parameters Source'!V88="","-",'[1]Annual Parameters Source'!V88)</f>
        <v>214.9896521820074</v>
      </c>
      <c r="W88" s="186">
        <f>IF('[1]Annual Parameters Source'!W88="","-",'[1]Annual Parameters Source'!W88)</f>
        <v>214.9896521820074</v>
      </c>
    </row>
    <row r="89" spans="1:23" ht="13.5" customHeight="1" x14ac:dyDescent="0.25">
      <c r="A89" s="180"/>
      <c r="B89" s="85">
        <v>2050</v>
      </c>
      <c r="C89" s="138"/>
      <c r="D89" s="181">
        <f>IF('[1]Annual Parameters Source'!D89="","-",'[1]Annual Parameters Source'!D89/VLOOKUP($B$14,'[1]Annual Parameters Source'!$B$29:$D$139,3,1)*100)</f>
        <v>231.56052048981329</v>
      </c>
      <c r="E89" s="182" t="str">
        <f>IF('[1]Annual Parameters Source'!E89="","-",'[1]Annual Parameters Source'!E89)</f>
        <v>-</v>
      </c>
      <c r="F89" s="183">
        <f>IF('[1]Annual Parameters Source'!F89="","-",'[1]Annual Parameters Source'!F89)</f>
        <v>2.5</v>
      </c>
      <c r="G89" s="184">
        <f>IF('[1]Annual Parameters Source'!G89="","-",'[1]Annual Parameters Source'!G89)</f>
        <v>380.6968991469052</v>
      </c>
      <c r="H89" s="182" t="str">
        <f>IF('[1]Annual Parameters Source'!H89="","-",'[1]Annual Parameters Source'!H89)</f>
        <v>-</v>
      </c>
      <c r="I89" s="183">
        <f>IF('[1]Annual Parameters Source'!I89="","-",'[1]Annual Parameters Source'!I89)</f>
        <v>0.35468719653994896</v>
      </c>
      <c r="J89" s="184">
        <f>IF('[1]Annual Parameters Source'!J89="","-",'[1]Annual Parameters Source'!J89)</f>
        <v>134.95504152432125</v>
      </c>
      <c r="K89" s="182" t="str">
        <f>IF('[1]Annual Parameters Source'!K89="","-",'[1]Annual Parameters Source'!K89)</f>
        <v>-</v>
      </c>
      <c r="L89" s="183">
        <f>IF('[1]Annual Parameters Source'!L89="","-",'[1]Annual Parameters Source'!L89)</f>
        <v>0.35468719653994896</v>
      </c>
      <c r="M89" s="184">
        <f>IF('[1]Annual Parameters Source'!M89="","-",'[1]Annual Parameters Source'!M89)</f>
        <v>141.03701171904612</v>
      </c>
      <c r="N89" s="182" t="str">
        <f>IF('[1]Annual Parameters Source'!N89="","-",'[1]Annual Parameters Source'!N89)</f>
        <v>-</v>
      </c>
      <c r="O89" s="183">
        <f>IF('[1]Annual Parameters Source'!O89="","-",'[1]Annual Parameters Source'!O89)</f>
        <v>2.1377305469136409</v>
      </c>
      <c r="P89" s="184">
        <f>IF('[1]Annual Parameters Source'!P89="","-",'[1]Annual Parameters Source'!P89)</f>
        <v>282.09164685284981</v>
      </c>
      <c r="Q89" s="182" t="str">
        <f>IF('[1]Annual Parameters Source'!Q89="","-",'[1]Annual Parameters Source'!Q89)</f>
        <v>-</v>
      </c>
      <c r="R89" s="183">
        <f>IF('[1]Annual Parameters Source'!R89="","-",'[1]Annual Parameters Source'!R89)</f>
        <v>2.1377305469136409</v>
      </c>
      <c r="S89" s="184">
        <f>IF('[1]Annual Parameters Source'!S89="","-",'[1]Annual Parameters Source'!S89)</f>
        <v>242.98827156054639</v>
      </c>
      <c r="T89" s="183">
        <f>IF('[1]Annual Parameters Source'!T89="","-",'[1]Annual Parameters Source'!T89)</f>
        <v>2.1377305469136409</v>
      </c>
      <c r="U89" s="183">
        <f>IF('[1]Annual Parameters Source'!U89="","-",'[1]Annual Parameters Source'!U89)</f>
        <v>2.1377305469136409</v>
      </c>
      <c r="V89" s="185">
        <f>IF('[1]Annual Parameters Source'!V89="","-",'[1]Annual Parameters Source'!V89)</f>
        <v>219.58555164940557</v>
      </c>
      <c r="W89" s="186">
        <f>IF('[1]Annual Parameters Source'!W89="","-",'[1]Annual Parameters Source'!W89)</f>
        <v>219.58555164940557</v>
      </c>
    </row>
    <row r="90" spans="1:23" ht="13.5" customHeight="1" x14ac:dyDescent="0.25">
      <c r="A90" s="180"/>
      <c r="B90" s="85">
        <v>2051</v>
      </c>
      <c r="C90" s="138"/>
      <c r="D90" s="181">
        <f>IF('[1]Annual Parameters Source'!D90="","-",'[1]Annual Parameters Source'!D90/VLOOKUP($B$14,'[1]Annual Parameters Source'!$B$29:$D$139,3,1)*100)</f>
        <v>236.88641246107895</v>
      </c>
      <c r="E90" s="182" t="str">
        <f>IF('[1]Annual Parameters Source'!E90="","-",'[1]Annual Parameters Source'!E90)</f>
        <v>-</v>
      </c>
      <c r="F90" s="183">
        <f>IF('[1]Annual Parameters Source'!F90="","-",'[1]Annual Parameters Source'!F90)</f>
        <v>2.4</v>
      </c>
      <c r="G90" s="184">
        <f>IF('[1]Annual Parameters Source'!G90="","-",'[1]Annual Parameters Source'!G90)</f>
        <v>389.83362472643091</v>
      </c>
      <c r="H90" s="182" t="str">
        <f>IF('[1]Annual Parameters Source'!H90="","-",'[1]Annual Parameters Source'!H90)</f>
        <v>-</v>
      </c>
      <c r="I90" s="183">
        <f>IF('[1]Annual Parameters Source'!I90="","-",'[1]Annual Parameters Source'!I90)</f>
        <v>0.35468719653994896</v>
      </c>
      <c r="J90" s="184">
        <f>IF('[1]Annual Parameters Source'!J90="","-",'[1]Annual Parameters Source'!J90)</f>
        <v>135.43370977769317</v>
      </c>
      <c r="K90" s="182" t="str">
        <f>IF('[1]Annual Parameters Source'!K90="","-",'[1]Annual Parameters Source'!K90)</f>
        <v>-</v>
      </c>
      <c r="L90" s="183">
        <f>IF('[1]Annual Parameters Source'!L90="","-",'[1]Annual Parameters Source'!L90)</f>
        <v>0.35468719653994896</v>
      </c>
      <c r="M90" s="184">
        <f>IF('[1]Annual Parameters Source'!M90="","-",'[1]Annual Parameters Source'!M90)</f>
        <v>141.53725194199612</v>
      </c>
      <c r="N90" s="182" t="str">
        <f>IF('[1]Annual Parameters Source'!N90="","-",'[1]Annual Parameters Source'!N90)</f>
        <v>-</v>
      </c>
      <c r="O90" s="183">
        <f>IF('[1]Annual Parameters Source'!O90="","-",'[1]Annual Parameters Source'!O90)</f>
        <v>2.0380839805264062</v>
      </c>
      <c r="P90" s="184">
        <f>IF('[1]Annual Parameters Source'!P90="","-",'[1]Annual Parameters Source'!P90)</f>
        <v>287.84091151776084</v>
      </c>
      <c r="Q90" s="182" t="str">
        <f>IF('[1]Annual Parameters Source'!Q90="","-",'[1]Annual Parameters Source'!Q90)</f>
        <v>-</v>
      </c>
      <c r="R90" s="183">
        <f>IF('[1]Annual Parameters Source'!R90="","-",'[1]Annual Parameters Source'!R90)</f>
        <v>2.0380839805264062</v>
      </c>
      <c r="S90" s="184">
        <f>IF('[1]Annual Parameters Source'!S90="","-",'[1]Annual Parameters Source'!S90)</f>
        <v>247.94057659777991</v>
      </c>
      <c r="T90" s="183">
        <f>IF('[1]Annual Parameters Source'!T90="","-",'[1]Annual Parameters Source'!T90)</f>
        <v>2.0380839805264062</v>
      </c>
      <c r="U90" s="183">
        <f>IF('[1]Annual Parameters Source'!U90="","-",'[1]Annual Parameters Source'!U90)</f>
        <v>2.0380839805264062</v>
      </c>
      <c r="V90" s="185">
        <f>IF('[1]Annual Parameters Source'!V90="","-",'[1]Annual Parameters Source'!V90)</f>
        <v>224.06088960112265</v>
      </c>
      <c r="W90" s="186">
        <f>IF('[1]Annual Parameters Source'!W90="","-",'[1]Annual Parameters Source'!W90)</f>
        <v>224.06088960112265</v>
      </c>
    </row>
    <row r="91" spans="1:23" ht="13.5" customHeight="1" x14ac:dyDescent="0.25">
      <c r="A91" s="180"/>
      <c r="B91" s="85">
        <v>2052</v>
      </c>
      <c r="C91" s="138"/>
      <c r="D91" s="181">
        <f>IF('[1]Annual Parameters Source'!D91="","-",'[1]Annual Parameters Source'!D91/VLOOKUP($B$14,'[1]Annual Parameters Source'!$B$29:$D$139,3,1)*100)</f>
        <v>242.33479994768373</v>
      </c>
      <c r="E91" s="182" t="str">
        <f>IF('[1]Annual Parameters Source'!E91="","-",'[1]Annual Parameters Source'!E91)</f>
        <v>-</v>
      </c>
      <c r="F91" s="183">
        <f>IF('[1]Annual Parameters Source'!F91="","-",'[1]Annual Parameters Source'!F91)</f>
        <v>2.4</v>
      </c>
      <c r="G91" s="184">
        <f>IF('[1]Annual Parameters Source'!G91="","-",'[1]Annual Parameters Source'!G91)</f>
        <v>399.1896317198653</v>
      </c>
      <c r="H91" s="182" t="str">
        <f>IF('[1]Annual Parameters Source'!H91="","-",'[1]Annual Parameters Source'!H91)</f>
        <v>-</v>
      </c>
      <c r="I91" s="183">
        <f>IF('[1]Annual Parameters Source'!I91="","-",'[1]Annual Parameters Source'!I91)</f>
        <v>0.32282427525738289</v>
      </c>
      <c r="J91" s="184">
        <f>IF('[1]Annual Parameters Source'!J91="","-",'[1]Annual Parameters Source'!J91)</f>
        <v>135.87092266973718</v>
      </c>
      <c r="K91" s="182" t="str">
        <f>IF('[1]Annual Parameters Source'!K91="","-",'[1]Annual Parameters Source'!K91)</f>
        <v>-</v>
      </c>
      <c r="L91" s="183">
        <f>IF('[1]Annual Parameters Source'!L91="","-",'[1]Annual Parameters Source'!L91)</f>
        <v>0.32282427525738289</v>
      </c>
      <c r="M91" s="184">
        <f>IF('[1]Annual Parameters Source'!M91="","-",'[1]Annual Parameters Source'!M91)</f>
        <v>141.99416854979708</v>
      </c>
      <c r="N91" s="182" t="str">
        <f>IF('[1]Annual Parameters Source'!N91="","-",'[1]Annual Parameters Source'!N91)</f>
        <v>-</v>
      </c>
      <c r="O91" s="183">
        <f>IF('[1]Annual Parameters Source'!O91="","-",'[1]Annual Parameters Source'!O91)</f>
        <v>2.0704916749985314</v>
      </c>
      <c r="P91" s="184">
        <f>IF('[1]Annual Parameters Source'!P91="","-",'[1]Annual Parameters Source'!P91)</f>
        <v>293.80063362797597</v>
      </c>
      <c r="Q91" s="182" t="str">
        <f>IF('[1]Annual Parameters Source'!Q91="","-",'[1]Annual Parameters Source'!Q91)</f>
        <v>-</v>
      </c>
      <c r="R91" s="183">
        <f>IF('[1]Annual Parameters Source'!R91="","-",'[1]Annual Parameters Source'!R91)</f>
        <v>2.0704916749985314</v>
      </c>
      <c r="S91" s="184">
        <f>IF('[1]Annual Parameters Source'!S91="","-",'[1]Annual Parameters Source'!S91)</f>
        <v>253.07416559518032</v>
      </c>
      <c r="T91" s="183">
        <f>IF('[1]Annual Parameters Source'!T91="","-",'[1]Annual Parameters Source'!T91)</f>
        <v>2.0704916749985314</v>
      </c>
      <c r="U91" s="183">
        <f>IF('[1]Annual Parameters Source'!U91="","-",'[1]Annual Parameters Source'!U91)</f>
        <v>2.0704916749985314</v>
      </c>
      <c r="V91" s="185">
        <f>IF('[1]Annual Parameters Source'!V91="","-",'[1]Annual Parameters Source'!V91)</f>
        <v>228.70005166724155</v>
      </c>
      <c r="W91" s="186">
        <f>IF('[1]Annual Parameters Source'!W91="","-",'[1]Annual Parameters Source'!W91)</f>
        <v>228.70005166724155</v>
      </c>
    </row>
    <row r="92" spans="1:23" ht="13.5" customHeight="1" x14ac:dyDescent="0.25">
      <c r="A92" s="180"/>
      <c r="B92" s="85">
        <v>2053</v>
      </c>
      <c r="C92" s="138"/>
      <c r="D92" s="181">
        <f>IF('[1]Annual Parameters Source'!D92="","-",'[1]Annual Parameters Source'!D92/VLOOKUP($B$14,'[1]Annual Parameters Source'!$B$29:$D$139,3,1)*100)</f>
        <v>247.90850034648045</v>
      </c>
      <c r="E92" s="182" t="str">
        <f>IF('[1]Annual Parameters Source'!E92="","-",'[1]Annual Parameters Source'!E92)</f>
        <v>-</v>
      </c>
      <c r="F92" s="183">
        <f>IF('[1]Annual Parameters Source'!F92="","-",'[1]Annual Parameters Source'!F92)</f>
        <v>2.4</v>
      </c>
      <c r="G92" s="184">
        <f>IF('[1]Annual Parameters Source'!G92="","-",'[1]Annual Parameters Source'!G92)</f>
        <v>408.77018288114209</v>
      </c>
      <c r="H92" s="182" t="str">
        <f>IF('[1]Annual Parameters Source'!H92="","-",'[1]Annual Parameters Source'!H92)</f>
        <v>-</v>
      </c>
      <c r="I92" s="183">
        <f>IF('[1]Annual Parameters Source'!I92="","-",'[1]Annual Parameters Source'!I92)</f>
        <v>0.32282427525738289</v>
      </c>
      <c r="J92" s="184">
        <f>IF('[1]Annual Parameters Source'!J92="","-",'[1]Annual Parameters Source'!J92)</f>
        <v>136.30954699113127</v>
      </c>
      <c r="K92" s="182" t="str">
        <f>IF('[1]Annual Parameters Source'!K92="","-",'[1]Annual Parameters Source'!K92)</f>
        <v>-</v>
      </c>
      <c r="L92" s="183">
        <f>IF('[1]Annual Parameters Source'!L92="","-",'[1]Annual Parameters Source'!L92)</f>
        <v>0.32282427525738289</v>
      </c>
      <c r="M92" s="184">
        <f>IF('[1]Annual Parameters Source'!M92="","-",'[1]Annual Parameters Source'!M92)</f>
        <v>142.4525601953257</v>
      </c>
      <c r="N92" s="182" t="str">
        <f>IF('[1]Annual Parameters Source'!N92="","-",'[1]Annual Parameters Source'!N92)</f>
        <v>-</v>
      </c>
      <c r="O92" s="183">
        <f>IF('[1]Annual Parameters Source'!O92="","-",'[1]Annual Parameters Source'!O92)</f>
        <v>2.0704916749985314</v>
      </c>
      <c r="P92" s="184">
        <f>IF('[1]Annual Parameters Source'!P92="","-",'[1]Annual Parameters Source'!P92)</f>
        <v>299.88375128833616</v>
      </c>
      <c r="Q92" s="182" t="str">
        <f>IF('[1]Annual Parameters Source'!Q92="","-",'[1]Annual Parameters Source'!Q92)</f>
        <v>-</v>
      </c>
      <c r="R92" s="183">
        <f>IF('[1]Annual Parameters Source'!R92="","-",'[1]Annual Parameters Source'!R92)</f>
        <v>2.0704916749985314</v>
      </c>
      <c r="S92" s="184">
        <f>IF('[1]Annual Parameters Source'!S92="","-",'[1]Annual Parameters Source'!S92)</f>
        <v>258.31404512540053</v>
      </c>
      <c r="T92" s="183">
        <f>IF('[1]Annual Parameters Source'!T92="","-",'[1]Annual Parameters Source'!T92)</f>
        <v>2.0704916749985314</v>
      </c>
      <c r="U92" s="183">
        <f>IF('[1]Annual Parameters Source'!U92="","-",'[1]Annual Parameters Source'!U92)</f>
        <v>2.0704916749985314</v>
      </c>
      <c r="V92" s="185">
        <f>IF('[1]Annual Parameters Source'!V92="","-",'[1]Annual Parameters Source'!V92)</f>
        <v>233.43526719772913</v>
      </c>
      <c r="W92" s="186">
        <f>IF('[1]Annual Parameters Source'!W92="","-",'[1]Annual Parameters Source'!W92)</f>
        <v>233.43526719772913</v>
      </c>
    </row>
    <row r="93" spans="1:23" ht="13.5" customHeight="1" x14ac:dyDescent="0.25">
      <c r="A93" s="180"/>
      <c r="B93" s="85">
        <v>2054</v>
      </c>
      <c r="C93" s="138"/>
      <c r="D93" s="181">
        <f>IF('[1]Annual Parameters Source'!D93="","-",'[1]Annual Parameters Source'!D93/VLOOKUP($B$14,'[1]Annual Parameters Source'!$B$29:$D$139,3,1)*100)</f>
        <v>253.61039585444948</v>
      </c>
      <c r="E93" s="182" t="str">
        <f>IF('[1]Annual Parameters Source'!E93="","-",'[1]Annual Parameters Source'!E93)</f>
        <v>-</v>
      </c>
      <c r="F93" s="183">
        <f>IF('[1]Annual Parameters Source'!F93="","-",'[1]Annual Parameters Source'!F93)</f>
        <v>2.4</v>
      </c>
      <c r="G93" s="184">
        <f>IF('[1]Annual Parameters Source'!G93="","-",'[1]Annual Parameters Source'!G93)</f>
        <v>418.58066727028955</v>
      </c>
      <c r="H93" s="182" t="str">
        <f>IF('[1]Annual Parameters Source'!H93="","-",'[1]Annual Parameters Source'!H93)</f>
        <v>-</v>
      </c>
      <c r="I93" s="183">
        <f>IF('[1]Annual Parameters Source'!I93="","-",'[1]Annual Parameters Source'!I93)</f>
        <v>0.32282427525738289</v>
      </c>
      <c r="J93" s="184">
        <f>IF('[1]Annual Parameters Source'!J93="","-",'[1]Annual Parameters Source'!J93)</f>
        <v>136.74958729831201</v>
      </c>
      <c r="K93" s="182" t="str">
        <f>IF('[1]Annual Parameters Source'!K93="","-",'[1]Annual Parameters Source'!K93)</f>
        <v>-</v>
      </c>
      <c r="L93" s="183">
        <f>IF('[1]Annual Parameters Source'!L93="","-",'[1]Annual Parameters Source'!L93)</f>
        <v>0.32282427525738289</v>
      </c>
      <c r="M93" s="184">
        <f>IF('[1]Annual Parameters Source'!M93="","-",'[1]Annual Parameters Source'!M93)</f>
        <v>142.91243164036186</v>
      </c>
      <c r="N93" s="182" t="str">
        <f>IF('[1]Annual Parameters Source'!N93="","-",'[1]Annual Parameters Source'!N93)</f>
        <v>-</v>
      </c>
      <c r="O93" s="183">
        <f>IF('[1]Annual Parameters Source'!O93="","-",'[1]Annual Parameters Source'!O93)</f>
        <v>2.0704916749985314</v>
      </c>
      <c r="P93" s="184">
        <f>IF('[1]Annual Parameters Source'!P93="","-",'[1]Annual Parameters Source'!P93)</f>
        <v>306.09281939343447</v>
      </c>
      <c r="Q93" s="182" t="str">
        <f>IF('[1]Annual Parameters Source'!Q93="","-",'[1]Annual Parameters Source'!Q93)</f>
        <v>-</v>
      </c>
      <c r="R93" s="183">
        <f>IF('[1]Annual Parameters Source'!R93="","-",'[1]Annual Parameters Source'!R93)</f>
        <v>2.0704916749985314</v>
      </c>
      <c r="S93" s="184">
        <f>IF('[1]Annual Parameters Source'!S93="","-",'[1]Annual Parameters Source'!S93)</f>
        <v>263.6624159250739</v>
      </c>
      <c r="T93" s="183">
        <f>IF('[1]Annual Parameters Source'!T93="","-",'[1]Annual Parameters Source'!T93)</f>
        <v>2.0704916749985314</v>
      </c>
      <c r="U93" s="183">
        <f>IF('[1]Annual Parameters Source'!U93="","-",'[1]Annual Parameters Source'!U93)</f>
        <v>2.0704916749985314</v>
      </c>
      <c r="V93" s="185">
        <f>IF('[1]Annual Parameters Source'!V93="","-",'[1]Annual Parameters Source'!V93)</f>
        <v>238.2685249715687</v>
      </c>
      <c r="W93" s="186">
        <f>IF('[1]Annual Parameters Source'!W93="","-",'[1]Annual Parameters Source'!W93)</f>
        <v>238.2685249715687</v>
      </c>
    </row>
    <row r="94" spans="1:23" ht="13.5" customHeight="1" x14ac:dyDescent="0.25">
      <c r="A94" s="180"/>
      <c r="B94" s="85">
        <v>2055</v>
      </c>
      <c r="C94" s="138"/>
      <c r="D94" s="181">
        <f>IF('[1]Annual Parameters Source'!D94="","-",'[1]Annual Parameters Source'!D94/VLOOKUP($B$14,'[1]Annual Parameters Source'!$B$29:$D$139,3,1)*100)</f>
        <v>259.44343495910181</v>
      </c>
      <c r="E94" s="182" t="str">
        <f>IF('[1]Annual Parameters Source'!E94="","-",'[1]Annual Parameters Source'!E94)</f>
        <v>-</v>
      </c>
      <c r="F94" s="183">
        <f>IF('[1]Annual Parameters Source'!F94="","-",'[1]Annual Parameters Source'!F94)</f>
        <v>2.4</v>
      </c>
      <c r="G94" s="184">
        <f>IF('[1]Annual Parameters Source'!G94="","-",'[1]Annual Parameters Source'!G94)</f>
        <v>428.62660328477648</v>
      </c>
      <c r="H94" s="182" t="str">
        <f>IF('[1]Annual Parameters Source'!H94="","-",'[1]Annual Parameters Source'!H94)</f>
        <v>-</v>
      </c>
      <c r="I94" s="183">
        <f>IF('[1]Annual Parameters Source'!I94="","-",'[1]Annual Parameters Source'!I94)</f>
        <v>0.32282427525738289</v>
      </c>
      <c r="J94" s="184">
        <f>IF('[1]Annual Parameters Source'!J94="","-",'[1]Annual Parameters Source'!J94)</f>
        <v>137.19104816242526</v>
      </c>
      <c r="K94" s="182" t="str">
        <f>IF('[1]Annual Parameters Source'!K94="","-",'[1]Annual Parameters Source'!K94)</f>
        <v>-</v>
      </c>
      <c r="L94" s="183">
        <f>IF('[1]Annual Parameters Source'!L94="","-",'[1]Annual Parameters Source'!L94)</f>
        <v>0.32282427525738289</v>
      </c>
      <c r="M94" s="184">
        <f>IF('[1]Annual Parameters Source'!M94="","-",'[1]Annual Parameters Source'!M94)</f>
        <v>143.37378766205757</v>
      </c>
      <c r="N94" s="182" t="str">
        <f>IF('[1]Annual Parameters Source'!N94="","-",'[1]Annual Parameters Source'!N94)</f>
        <v>-</v>
      </c>
      <c r="O94" s="183">
        <f>IF('[1]Annual Parameters Source'!O94="","-",'[1]Annual Parameters Source'!O94)</f>
        <v>2.0704916749985314</v>
      </c>
      <c r="P94" s="184">
        <f>IF('[1]Annual Parameters Source'!P94="","-",'[1]Annual Parameters Source'!P94)</f>
        <v>312.43044573674382</v>
      </c>
      <c r="Q94" s="182" t="str">
        <f>IF('[1]Annual Parameters Source'!Q94="","-",'[1]Annual Parameters Source'!Q94)</f>
        <v>-</v>
      </c>
      <c r="R94" s="183">
        <f>IF('[1]Annual Parameters Source'!R94="","-",'[1]Annual Parameters Source'!R94)</f>
        <v>2.0704916749985314</v>
      </c>
      <c r="S94" s="184">
        <f>IF('[1]Annual Parameters Source'!S94="","-",'[1]Annual Parameters Source'!S94)</f>
        <v>269.12152429690258</v>
      </c>
      <c r="T94" s="183">
        <f>IF('[1]Annual Parameters Source'!T94="","-",'[1]Annual Parameters Source'!T94)</f>
        <v>2.0704916749985314</v>
      </c>
      <c r="U94" s="183">
        <f>IF('[1]Annual Parameters Source'!U94="","-",'[1]Annual Parameters Source'!U94)</f>
        <v>2.0704916749985314</v>
      </c>
      <c r="V94" s="185">
        <f>IF('[1]Annual Parameters Source'!V94="","-",'[1]Annual Parameters Source'!V94)</f>
        <v>243.20185494524682</v>
      </c>
      <c r="W94" s="186">
        <f>IF('[1]Annual Parameters Source'!W94="","-",'[1]Annual Parameters Source'!W94)</f>
        <v>243.20185494524682</v>
      </c>
    </row>
    <row r="95" spans="1:23" ht="13.5" customHeight="1" x14ac:dyDescent="0.25">
      <c r="A95" s="180"/>
      <c r="B95" s="85">
        <v>2056</v>
      </c>
      <c r="C95" s="138"/>
      <c r="D95" s="181">
        <f>IF('[1]Annual Parameters Source'!D95="","-",'[1]Annual Parameters Source'!D95/VLOOKUP($B$14,'[1]Annual Parameters Source'!$B$29:$D$139,3,1)*100)</f>
        <v>265.4106339631611</v>
      </c>
      <c r="E95" s="182" t="str">
        <f>IF('[1]Annual Parameters Source'!E95="","-",'[1]Annual Parameters Source'!E95)</f>
        <v>-</v>
      </c>
      <c r="F95" s="183">
        <f>IF('[1]Annual Parameters Source'!F95="","-",'[1]Annual Parameters Source'!F95)</f>
        <v>2.4</v>
      </c>
      <c r="G95" s="184">
        <f>IF('[1]Annual Parameters Source'!G95="","-",'[1]Annual Parameters Source'!G95)</f>
        <v>438.91364176361117</v>
      </c>
      <c r="H95" s="182" t="str">
        <f>IF('[1]Annual Parameters Source'!H95="","-",'[1]Annual Parameters Source'!H95)</f>
        <v>-</v>
      </c>
      <c r="I95" s="183">
        <f>IF('[1]Annual Parameters Source'!I95="","-",'[1]Annual Parameters Source'!I95)</f>
        <v>0.32282427525738289</v>
      </c>
      <c r="J95" s="184">
        <f>IF('[1]Annual Parameters Source'!J95="","-",'[1]Annual Parameters Source'!J95)</f>
        <v>137.63393416937362</v>
      </c>
      <c r="K95" s="182" t="str">
        <f>IF('[1]Annual Parameters Source'!K95="","-",'[1]Annual Parameters Source'!K95)</f>
        <v>-</v>
      </c>
      <c r="L95" s="183">
        <f>IF('[1]Annual Parameters Source'!L95="","-",'[1]Annual Parameters Source'!L95)</f>
        <v>0.32282427525738289</v>
      </c>
      <c r="M95" s="184">
        <f>IF('[1]Annual Parameters Source'!M95="","-",'[1]Annual Parameters Source'!M95)</f>
        <v>143.83663305298668</v>
      </c>
      <c r="N95" s="182" t="str">
        <f>IF('[1]Annual Parameters Source'!N95="","-",'[1]Annual Parameters Source'!N95)</f>
        <v>-</v>
      </c>
      <c r="O95" s="183">
        <f>IF('[1]Annual Parameters Source'!O95="","-",'[1]Annual Parameters Source'!O95)</f>
        <v>2.0704916749985314</v>
      </c>
      <c r="P95" s="184">
        <f>IF('[1]Annual Parameters Source'!P95="","-",'[1]Annual Parameters Source'!P95)</f>
        <v>318.89929210588389</v>
      </c>
      <c r="Q95" s="182" t="str">
        <f>IF('[1]Annual Parameters Source'!Q95="","-",'[1]Annual Parameters Source'!Q95)</f>
        <v>-</v>
      </c>
      <c r="R95" s="183">
        <f>IF('[1]Annual Parameters Source'!R95="","-",'[1]Annual Parameters Source'!R95)</f>
        <v>2.0704916749985314</v>
      </c>
      <c r="S95" s="184">
        <f>IF('[1]Annual Parameters Source'!S95="","-",'[1]Annual Parameters Source'!S95)</f>
        <v>274.6936630530991</v>
      </c>
      <c r="T95" s="183">
        <f>IF('[1]Annual Parameters Source'!T95="","-",'[1]Annual Parameters Source'!T95)</f>
        <v>2.0704916749985314</v>
      </c>
      <c r="U95" s="183">
        <f>IF('[1]Annual Parameters Source'!U95="","-",'[1]Annual Parameters Source'!U95)</f>
        <v>2.0704916749985314</v>
      </c>
      <c r="V95" s="185">
        <f>IF('[1]Annual Parameters Source'!V95="","-",'[1]Annual Parameters Source'!V95)</f>
        <v>248.23732910533016</v>
      </c>
      <c r="W95" s="186">
        <f>IF('[1]Annual Parameters Source'!W95="","-",'[1]Annual Parameters Source'!W95)</f>
        <v>248.23732910533016</v>
      </c>
    </row>
    <row r="96" spans="1:23" ht="13.5" customHeight="1" x14ac:dyDescent="0.25">
      <c r="A96" s="180"/>
      <c r="B96" s="85">
        <v>2057</v>
      </c>
      <c r="C96" s="138"/>
      <c r="D96" s="181">
        <f>IF('[1]Annual Parameters Source'!D96="","-",'[1]Annual Parameters Source'!D96/VLOOKUP($B$14,'[1]Annual Parameters Source'!$B$29:$D$139,3,1)*100)</f>
        <v>271.51507854431378</v>
      </c>
      <c r="E96" s="182" t="str">
        <f>IF('[1]Annual Parameters Source'!E96="","-",'[1]Annual Parameters Source'!E96)</f>
        <v>-</v>
      </c>
      <c r="F96" s="183">
        <f>IF('[1]Annual Parameters Source'!F96="","-",'[1]Annual Parameters Source'!F96)</f>
        <v>2.4</v>
      </c>
      <c r="G96" s="184">
        <f>IF('[1]Annual Parameters Source'!G96="","-",'[1]Annual Parameters Source'!G96)</f>
        <v>449.44756916593792</v>
      </c>
      <c r="H96" s="182" t="str">
        <f>IF('[1]Annual Parameters Source'!H96="","-",'[1]Annual Parameters Source'!H96)</f>
        <v>-</v>
      </c>
      <c r="I96" s="183">
        <f>IF('[1]Annual Parameters Source'!I96="","-",'[1]Annual Parameters Source'!I96)</f>
        <v>0.29926047884336615</v>
      </c>
      <c r="J96" s="184">
        <f>IF('[1]Annual Parameters Source'!J96="","-",'[1]Annual Parameters Source'!J96)</f>
        <v>138.04581813981983</v>
      </c>
      <c r="K96" s="182" t="str">
        <f>IF('[1]Annual Parameters Source'!K96="","-",'[1]Annual Parameters Source'!K96)</f>
        <v>-</v>
      </c>
      <c r="L96" s="183">
        <f>IF('[1]Annual Parameters Source'!L96="","-",'[1]Annual Parameters Source'!L96)</f>
        <v>0.29926047884336615</v>
      </c>
      <c r="M96" s="184">
        <f>IF('[1]Annual Parameters Source'!M96="","-",'[1]Annual Parameters Source'!M96)</f>
        <v>144.26707924981324</v>
      </c>
      <c r="N96" s="182" t="str">
        <f>IF('[1]Annual Parameters Source'!N96="","-",'[1]Annual Parameters Source'!N96)</f>
        <v>-</v>
      </c>
      <c r="O96" s="183">
        <f>IF('[1]Annual Parameters Source'!O96="","-",'[1]Annual Parameters Source'!O96)</f>
        <v>2.0944715954309245</v>
      </c>
      <c r="P96" s="184">
        <f>IF('[1]Annual Parameters Source'!P96="","-",'[1]Annual Parameters Source'!P96)</f>
        <v>325.57854719707188</v>
      </c>
      <c r="Q96" s="182" t="str">
        <f>IF('[1]Annual Parameters Source'!Q96="","-",'[1]Annual Parameters Source'!Q96)</f>
        <v>-</v>
      </c>
      <c r="R96" s="183">
        <f>IF('[1]Annual Parameters Source'!R96="","-",'[1]Annual Parameters Source'!R96)</f>
        <v>2.0944715954309245</v>
      </c>
      <c r="S96" s="184">
        <f>IF('[1]Annual Parameters Source'!S96="","-",'[1]Annual Parameters Source'!S96)</f>
        <v>280.44704380019499</v>
      </c>
      <c r="T96" s="183">
        <f>IF('[1]Annual Parameters Source'!T96="","-",'[1]Annual Parameters Source'!T96)</f>
        <v>2.0944715954309245</v>
      </c>
      <c r="U96" s="183">
        <f>IF('[1]Annual Parameters Source'!U96="","-",'[1]Annual Parameters Source'!U96)</f>
        <v>2.0944715954309245</v>
      </c>
      <c r="V96" s="185">
        <f>IF('[1]Annual Parameters Source'!V96="","-",'[1]Annual Parameters Source'!V96)</f>
        <v>253.43658945269769</v>
      </c>
      <c r="W96" s="186">
        <f>IF('[1]Annual Parameters Source'!W96="","-",'[1]Annual Parameters Source'!W96)</f>
        <v>253.43658945269769</v>
      </c>
    </row>
    <row r="97" spans="1:23" ht="13.5" customHeight="1" x14ac:dyDescent="0.25">
      <c r="A97" s="180"/>
      <c r="B97" s="85">
        <v>2058</v>
      </c>
      <c r="C97" s="138"/>
      <c r="D97" s="181">
        <f>IF('[1]Annual Parameters Source'!D97="","-",'[1]Annual Parameters Source'!D97/VLOOKUP($B$14,'[1]Annual Parameters Source'!$B$29:$D$139,3,1)*100)</f>
        <v>277.75992535083299</v>
      </c>
      <c r="E97" s="182" t="str">
        <f>IF('[1]Annual Parameters Source'!E97="","-",'[1]Annual Parameters Source'!E97)</f>
        <v>-</v>
      </c>
      <c r="F97" s="183">
        <f>IF('[1]Annual Parameters Source'!F97="","-",'[1]Annual Parameters Source'!F97)</f>
        <v>2.5</v>
      </c>
      <c r="G97" s="184">
        <f>IF('[1]Annual Parameters Source'!G97="","-",'[1]Annual Parameters Source'!G97)</f>
        <v>460.68375839508633</v>
      </c>
      <c r="H97" s="182" t="str">
        <f>IF('[1]Annual Parameters Source'!H97="","-",'[1]Annual Parameters Source'!H97)</f>
        <v>-</v>
      </c>
      <c r="I97" s="183">
        <f>IF('[1]Annual Parameters Source'!I97="","-",'[1]Annual Parameters Source'!I97)</f>
        <v>0.29926047884336615</v>
      </c>
      <c r="J97" s="184">
        <f>IF('[1]Annual Parameters Source'!J97="","-",'[1]Annual Parameters Source'!J97)</f>
        <v>138.45893471620829</v>
      </c>
      <c r="K97" s="182" t="str">
        <f>IF('[1]Annual Parameters Source'!K97="","-",'[1]Annual Parameters Source'!K97)</f>
        <v>-</v>
      </c>
      <c r="L97" s="183">
        <f>IF('[1]Annual Parameters Source'!L97="","-",'[1]Annual Parameters Source'!L97)</f>
        <v>0.29926047884336615</v>
      </c>
      <c r="M97" s="184">
        <f>IF('[1]Annual Parameters Source'!M97="","-",'[1]Annual Parameters Source'!M97)</f>
        <v>144.69881360198957</v>
      </c>
      <c r="N97" s="182" t="str">
        <f>IF('[1]Annual Parameters Source'!N97="","-",'[1]Annual Parameters Source'!N97)</f>
        <v>-</v>
      </c>
      <c r="O97" s="183">
        <f>IF('[1]Annual Parameters Source'!O97="","-",'[1]Annual Parameters Source'!O97)</f>
        <v>2.1941732278483173</v>
      </c>
      <c r="P97" s="184">
        <f>IF('[1]Annual Parameters Source'!P97="","-",'[1]Annual Parameters Source'!P97)</f>
        <v>332.72230451528753</v>
      </c>
      <c r="Q97" s="182" t="str">
        <f>IF('[1]Annual Parameters Source'!Q97="","-",'[1]Annual Parameters Source'!Q97)</f>
        <v>-</v>
      </c>
      <c r="R97" s="183">
        <f>IF('[1]Annual Parameters Source'!R97="","-",'[1]Annual Parameters Source'!R97)</f>
        <v>2.1941732278483173</v>
      </c>
      <c r="S97" s="184">
        <f>IF('[1]Annual Parameters Source'!S97="","-",'[1]Annual Parameters Source'!S97)</f>
        <v>286.60053775355095</v>
      </c>
      <c r="T97" s="183">
        <f>IF('[1]Annual Parameters Source'!T97="","-",'[1]Annual Parameters Source'!T97)</f>
        <v>2.1941732278483173</v>
      </c>
      <c r="U97" s="183">
        <f>IF('[1]Annual Parameters Source'!U97="","-",'[1]Annual Parameters Source'!U97)</f>
        <v>2.1941732278483173</v>
      </c>
      <c r="V97" s="185">
        <f>IF('[1]Annual Parameters Source'!V97="","-",'[1]Annual Parameters Source'!V97)</f>
        <v>258.99742724804065</v>
      </c>
      <c r="W97" s="186">
        <f>IF('[1]Annual Parameters Source'!W97="","-",'[1]Annual Parameters Source'!W97)</f>
        <v>258.99742724804065</v>
      </c>
    </row>
    <row r="98" spans="1:23" ht="13.5" customHeight="1" x14ac:dyDescent="0.25">
      <c r="A98" s="180"/>
      <c r="B98" s="85">
        <v>2059</v>
      </c>
      <c r="C98" s="138"/>
      <c r="D98" s="181">
        <f>IF('[1]Annual Parameters Source'!D98="","-",'[1]Annual Parameters Source'!D98/VLOOKUP($B$14,'[1]Annual Parameters Source'!$B$29:$D$139,3,1)*100)</f>
        <v>284.14840363390209</v>
      </c>
      <c r="E98" s="182" t="str">
        <f>IF('[1]Annual Parameters Source'!E98="","-",'[1]Annual Parameters Source'!E98)</f>
        <v>-</v>
      </c>
      <c r="F98" s="183">
        <f>IF('[1]Annual Parameters Source'!F98="","-",'[1]Annual Parameters Source'!F98)</f>
        <v>2.5</v>
      </c>
      <c r="G98" s="184">
        <f>IF('[1]Annual Parameters Source'!G98="","-",'[1]Annual Parameters Source'!G98)</f>
        <v>472.2008523549635</v>
      </c>
      <c r="H98" s="182" t="str">
        <f>IF('[1]Annual Parameters Source'!H98="","-",'[1]Annual Parameters Source'!H98)</f>
        <v>-</v>
      </c>
      <c r="I98" s="183">
        <f>IF('[1]Annual Parameters Source'!I98="","-",'[1]Annual Parameters Source'!I98)</f>
        <v>0.29926047884336615</v>
      </c>
      <c r="J98" s="184">
        <f>IF('[1]Annual Parameters Source'!J98="","-",'[1]Annual Parameters Source'!J98)</f>
        <v>138.87328758724144</v>
      </c>
      <c r="K98" s="182" t="str">
        <f>IF('[1]Annual Parameters Source'!K98="","-",'[1]Annual Parameters Source'!K98)</f>
        <v>-</v>
      </c>
      <c r="L98" s="183">
        <f>IF('[1]Annual Parameters Source'!L98="","-",'[1]Annual Parameters Source'!L98)</f>
        <v>0.29926047884336615</v>
      </c>
      <c r="M98" s="184">
        <f>IF('[1]Annual Parameters Source'!M98="","-",'[1]Annual Parameters Source'!M98)</f>
        <v>145.13183996445557</v>
      </c>
      <c r="N98" s="182" t="str">
        <f>IF('[1]Annual Parameters Source'!N98="","-",'[1]Annual Parameters Source'!N98)</f>
        <v>-</v>
      </c>
      <c r="O98" s="183">
        <f>IF('[1]Annual Parameters Source'!O98="","-",'[1]Annual Parameters Source'!O98)</f>
        <v>2.1941732278483173</v>
      </c>
      <c r="P98" s="184">
        <f>IF('[1]Annual Parameters Source'!P98="","-",'[1]Annual Parameters Source'!P98)</f>
        <v>340.02280824404193</v>
      </c>
      <c r="Q98" s="182" t="str">
        <f>IF('[1]Annual Parameters Source'!Q98="","-",'[1]Annual Parameters Source'!Q98)</f>
        <v>-</v>
      </c>
      <c r="R98" s="183">
        <f>IF('[1]Annual Parameters Source'!R98="","-",'[1]Annual Parameters Source'!R98)</f>
        <v>2.1941732278483173</v>
      </c>
      <c r="S98" s="184">
        <f>IF('[1]Annual Parameters Source'!S98="","-",'[1]Annual Parameters Source'!S98)</f>
        <v>292.88905002380869</v>
      </c>
      <c r="T98" s="183">
        <f>IF('[1]Annual Parameters Source'!T98="","-",'[1]Annual Parameters Source'!T98)</f>
        <v>2.1941732278483173</v>
      </c>
      <c r="U98" s="183">
        <f>IF('[1]Annual Parameters Source'!U98="","-",'[1]Annual Parameters Source'!U98)</f>
        <v>2.1941732278483173</v>
      </c>
      <c r="V98" s="185">
        <f>IF('[1]Annual Parameters Source'!V98="","-",'[1]Annual Parameters Source'!V98)</f>
        <v>264.68027945753306</v>
      </c>
      <c r="W98" s="186">
        <f>IF('[1]Annual Parameters Source'!W98="","-",'[1]Annual Parameters Source'!W98)</f>
        <v>264.68027945753306</v>
      </c>
    </row>
    <row r="99" spans="1:23" ht="13.5" customHeight="1" x14ac:dyDescent="0.25">
      <c r="A99" s="180"/>
      <c r="B99" s="85">
        <v>2060</v>
      </c>
      <c r="C99" s="138"/>
      <c r="D99" s="181">
        <f>IF('[1]Annual Parameters Source'!D99="","-",'[1]Annual Parameters Source'!D99/VLOOKUP($B$14,'[1]Annual Parameters Source'!$B$29:$D$139,3,1)*100)</f>
        <v>290.68381691748181</v>
      </c>
      <c r="E99" s="182" t="str">
        <f>IF('[1]Annual Parameters Source'!E99="","-",'[1]Annual Parameters Source'!E99)</f>
        <v>-</v>
      </c>
      <c r="F99" s="183">
        <f>IF('[1]Annual Parameters Source'!F99="","-",'[1]Annual Parameters Source'!F99)</f>
        <v>2.6</v>
      </c>
      <c r="G99" s="184">
        <f>IF('[1]Annual Parameters Source'!G99="","-",'[1]Annual Parameters Source'!G99)</f>
        <v>484.47807451619252</v>
      </c>
      <c r="H99" s="182" t="str">
        <f>IF('[1]Annual Parameters Source'!H99="","-",'[1]Annual Parameters Source'!H99)</f>
        <v>-</v>
      </c>
      <c r="I99" s="183">
        <f>IF('[1]Annual Parameters Source'!I99="","-",'[1]Annual Parameters Source'!I99)</f>
        <v>0.29926047884336615</v>
      </c>
      <c r="J99" s="184">
        <f>IF('[1]Annual Parameters Source'!J99="","-",'[1]Annual Parameters Source'!J99)</f>
        <v>139.28888045266055</v>
      </c>
      <c r="K99" s="182" t="str">
        <f>IF('[1]Annual Parameters Source'!K99="","-",'[1]Annual Parameters Source'!K99)</f>
        <v>-</v>
      </c>
      <c r="L99" s="183">
        <f>IF('[1]Annual Parameters Source'!L99="","-",'[1]Annual Parameters Source'!L99)</f>
        <v>0.29926047884336615</v>
      </c>
      <c r="M99" s="184">
        <f>IF('[1]Annual Parameters Source'!M99="","-",'[1]Annual Parameters Source'!M99)</f>
        <v>145.56616220368738</v>
      </c>
      <c r="N99" s="182" t="str">
        <f>IF('[1]Annual Parameters Source'!N99="","-",'[1]Annual Parameters Source'!N99)</f>
        <v>-</v>
      </c>
      <c r="O99" s="183">
        <f>IF('[1]Annual Parameters Source'!O99="","-",'[1]Annual Parameters Source'!O99)</f>
        <v>2.2938748602657322</v>
      </c>
      <c r="P99" s="184">
        <f>IF('[1]Annual Parameters Source'!P99="","-",'[1]Annual Parameters Source'!P99)</f>
        <v>347.82250596152153</v>
      </c>
      <c r="Q99" s="182" t="str">
        <f>IF('[1]Annual Parameters Source'!Q99="","-",'[1]Annual Parameters Source'!Q99)</f>
        <v>-</v>
      </c>
      <c r="R99" s="183">
        <f>IF('[1]Annual Parameters Source'!R99="","-",'[1]Annual Parameters Source'!R99)</f>
        <v>2.2938748602657322</v>
      </c>
      <c r="S99" s="184">
        <f>IF('[1]Annual Parameters Source'!S99="","-",'[1]Annual Parameters Source'!S99)</f>
        <v>299.60755831077597</v>
      </c>
      <c r="T99" s="183">
        <f>IF('[1]Annual Parameters Source'!T99="","-",'[1]Annual Parameters Source'!T99)</f>
        <v>2.2938748602657322</v>
      </c>
      <c r="U99" s="183">
        <f>IF('[1]Annual Parameters Source'!U99="","-",'[1]Annual Parameters Source'!U99)</f>
        <v>2.2938748602657322</v>
      </c>
      <c r="V99" s="185">
        <f>IF('[1]Annual Parameters Source'!V99="","-",'[1]Annual Parameters Source'!V99)</f>
        <v>270.7517138480905</v>
      </c>
      <c r="W99" s="186">
        <f>IF('[1]Annual Parameters Source'!W99="","-",'[1]Annual Parameters Source'!W99)</f>
        <v>270.7517138480905</v>
      </c>
    </row>
    <row r="100" spans="1:23" ht="13.5" customHeight="1" x14ac:dyDescent="0.25">
      <c r="A100" s="180"/>
      <c r="B100" s="85">
        <v>2061</v>
      </c>
      <c r="C100" s="138"/>
      <c r="D100" s="181">
        <f>IF('[1]Annual Parameters Source'!D100="","-",'[1]Annual Parameters Source'!D100/VLOOKUP($B$14,'[1]Annual Parameters Source'!$B$29:$D$139,3,1)*100)</f>
        <v>297.36954470658384</v>
      </c>
      <c r="E100" s="182" t="str">
        <f>IF('[1]Annual Parameters Source'!E100="","-",'[1]Annual Parameters Source'!E100)</f>
        <v>-</v>
      </c>
      <c r="F100" s="183">
        <f>IF('[1]Annual Parameters Source'!F100="","-",'[1]Annual Parameters Source'!F100)</f>
        <v>2.6</v>
      </c>
      <c r="G100" s="184">
        <f>IF('[1]Annual Parameters Source'!G100="","-",'[1]Annual Parameters Source'!G100)</f>
        <v>497.07450445361349</v>
      </c>
      <c r="H100" s="182" t="str">
        <f>IF('[1]Annual Parameters Source'!H100="","-",'[1]Annual Parameters Source'!H100)</f>
        <v>-</v>
      </c>
      <c r="I100" s="183">
        <f>IF('[1]Annual Parameters Source'!I100="","-",'[1]Annual Parameters Source'!I100)</f>
        <v>0.29926047884336615</v>
      </c>
      <c r="J100" s="184">
        <f>IF('[1]Annual Parameters Source'!J100="","-",'[1]Annual Parameters Source'!J100)</f>
        <v>139.70571702327874</v>
      </c>
      <c r="K100" s="182" t="str">
        <f>IF('[1]Annual Parameters Source'!K100="","-",'[1]Annual Parameters Source'!K100)</f>
        <v>-</v>
      </c>
      <c r="L100" s="183">
        <f>IF('[1]Annual Parameters Source'!L100="","-",'[1]Annual Parameters Source'!L100)</f>
        <v>0.29926047884336615</v>
      </c>
      <c r="M100" s="184">
        <f>IF('[1]Annual Parameters Source'!M100="","-",'[1]Annual Parameters Source'!M100)</f>
        <v>146.00178419773204</v>
      </c>
      <c r="N100" s="182" t="str">
        <f>IF('[1]Annual Parameters Source'!N100="","-",'[1]Annual Parameters Source'!N100)</f>
        <v>-</v>
      </c>
      <c r="O100" s="183">
        <f>IF('[1]Annual Parameters Source'!O100="","-",'[1]Annual Parameters Source'!O100)</f>
        <v>2.2938748602657322</v>
      </c>
      <c r="P100" s="184">
        <f>IF('[1]Annual Parameters Source'!P100="","-",'[1]Annual Parameters Source'!P100)</f>
        <v>355.80111898411917</v>
      </c>
      <c r="Q100" s="182" t="str">
        <f>IF('[1]Annual Parameters Source'!Q100="","-",'[1]Annual Parameters Source'!Q100)</f>
        <v>-</v>
      </c>
      <c r="R100" s="183">
        <f>IF('[1]Annual Parameters Source'!R100="","-",'[1]Annual Parameters Source'!R100)</f>
        <v>2.2938748602657322</v>
      </c>
      <c r="S100" s="184">
        <f>IF('[1]Annual Parameters Source'!S100="","-",'[1]Annual Parameters Source'!S100)</f>
        <v>306.48018077032282</v>
      </c>
      <c r="T100" s="183">
        <f>IF('[1]Annual Parameters Source'!T100="","-",'[1]Annual Parameters Source'!T100)</f>
        <v>2.2938748602657322</v>
      </c>
      <c r="U100" s="183">
        <f>IF('[1]Annual Parameters Source'!U100="","-",'[1]Annual Parameters Source'!U100)</f>
        <v>2.2938748602657322</v>
      </c>
      <c r="V100" s="185">
        <f>IF('[1]Annual Parameters Source'!V100="","-",'[1]Annual Parameters Source'!V100)</f>
        <v>276.96241934579047</v>
      </c>
      <c r="W100" s="186">
        <f>IF('[1]Annual Parameters Source'!W100="","-",'[1]Annual Parameters Source'!W100)</f>
        <v>276.96241934579047</v>
      </c>
    </row>
    <row r="101" spans="1:23" ht="13.5" customHeight="1" x14ac:dyDescent="0.25">
      <c r="A101" s="180"/>
      <c r="B101" s="85">
        <f t="shared" ref="B101:B127" si="0">B100+1</f>
        <v>2062</v>
      </c>
      <c r="C101" s="138"/>
      <c r="D101" s="181">
        <f>IF('[1]Annual Parameters Source'!D101="","-",'[1]Annual Parameters Source'!D101/VLOOKUP($B$14,'[1]Annual Parameters Source'!$B$29:$D$139,3,1)*100)</f>
        <v>304.20904423483523</v>
      </c>
      <c r="E101" s="182" t="str">
        <f>IF('[1]Annual Parameters Source'!E101="","-",'[1]Annual Parameters Source'!E101)</f>
        <v>-</v>
      </c>
      <c r="F101" s="183">
        <f>IF('[1]Annual Parameters Source'!F101="","-",'[1]Annual Parameters Source'!F101)</f>
        <v>2.6</v>
      </c>
      <c r="G101" s="184">
        <f>IF('[1]Annual Parameters Source'!G101="","-",'[1]Annual Parameters Source'!G101)</f>
        <v>509.99844156940742</v>
      </c>
      <c r="H101" s="182" t="str">
        <f>IF('[1]Annual Parameters Source'!H101="","-",'[1]Annual Parameters Source'!H101)</f>
        <v>-</v>
      </c>
      <c r="I101" s="183">
        <f>IF('[1]Annual Parameters Source'!I101="","-",'[1]Annual Parameters Source'!I101)</f>
        <v>0.293426640766703</v>
      </c>
      <c r="J101" s="184">
        <f>IF('[1]Annual Parameters Source'!J101="","-",'[1]Annual Parameters Source'!J101)</f>
        <v>140.11565081569918</v>
      </c>
      <c r="K101" s="182" t="str">
        <f>IF('[1]Annual Parameters Source'!K101="","-",'[1]Annual Parameters Source'!K101)</f>
        <v>-</v>
      </c>
      <c r="L101" s="183">
        <f>IF('[1]Annual Parameters Source'!L101="","-",'[1]Annual Parameters Source'!L101)</f>
        <v>0.293426640766703</v>
      </c>
      <c r="M101" s="184">
        <f>IF('[1]Annual Parameters Source'!M101="","-",'[1]Annual Parameters Source'!M101)</f>
        <v>146.43019232856287</v>
      </c>
      <c r="N101" s="182" t="str">
        <f>IF('[1]Annual Parameters Source'!N101="","-",'[1]Annual Parameters Source'!N101)</f>
        <v>-</v>
      </c>
      <c r="O101" s="183">
        <f>IF('[1]Annual Parameters Source'!O101="","-",'[1]Annual Parameters Source'!O101)</f>
        <v>2.2998250598167624</v>
      </c>
      <c r="P101" s="184">
        <f>IF('[1]Annual Parameters Source'!P101="","-",'[1]Annual Parameters Source'!P101)</f>
        <v>363.98392228162442</v>
      </c>
      <c r="Q101" s="182" t="str">
        <f>IF('[1]Annual Parameters Source'!Q101="","-",'[1]Annual Parameters Source'!Q101)</f>
        <v>-</v>
      </c>
      <c r="R101" s="183">
        <f>IF('[1]Annual Parameters Source'!R101="","-",'[1]Annual Parameters Source'!R101)</f>
        <v>2.2998250598167624</v>
      </c>
      <c r="S101" s="184">
        <f>IF('[1]Annual Parameters Source'!S101="","-",'[1]Annual Parameters Source'!S101)</f>
        <v>313.52868877105044</v>
      </c>
      <c r="T101" s="183">
        <f>IF('[1]Annual Parameters Source'!T101="","-",'[1]Annual Parameters Source'!T101)</f>
        <v>2.2998250598167624</v>
      </c>
      <c r="U101" s="183">
        <f>IF('[1]Annual Parameters Source'!U101="","-",'[1]Annual Parameters Source'!U101)</f>
        <v>2.2998250598167624</v>
      </c>
      <c r="V101" s="185">
        <f>IF('[1]Annual Parameters Source'!V101="","-",'[1]Annual Parameters Source'!V101)</f>
        <v>283.33207047217974</v>
      </c>
      <c r="W101" s="186">
        <f>IF('[1]Annual Parameters Source'!W101="","-",'[1]Annual Parameters Source'!W101)</f>
        <v>283.33207047217974</v>
      </c>
    </row>
    <row r="102" spans="1:23" ht="13.5" customHeight="1" x14ac:dyDescent="0.25">
      <c r="A102" s="180"/>
      <c r="B102" s="85">
        <f t="shared" si="0"/>
        <v>2063</v>
      </c>
      <c r="C102" s="138"/>
      <c r="D102" s="181">
        <f>IF('[1]Annual Parameters Source'!D102="","-",'[1]Annual Parameters Source'!D102/VLOOKUP($B$14,'[1]Annual Parameters Source'!$B$29:$D$139,3,1)*100)</f>
        <v>311.20585225223641</v>
      </c>
      <c r="E102" s="182" t="str">
        <f>IF('[1]Annual Parameters Source'!E102="","-",'[1]Annual Parameters Source'!E102)</f>
        <v>-</v>
      </c>
      <c r="F102" s="183">
        <f>IF('[1]Annual Parameters Source'!F102="","-",'[1]Annual Parameters Source'!F102)</f>
        <v>2.6</v>
      </c>
      <c r="G102" s="184">
        <f>IF('[1]Annual Parameters Source'!G102="","-",'[1]Annual Parameters Source'!G102)</f>
        <v>523.258401050212</v>
      </c>
      <c r="H102" s="182" t="str">
        <f>IF('[1]Annual Parameters Source'!H102="","-",'[1]Annual Parameters Source'!H102)</f>
        <v>-</v>
      </c>
      <c r="I102" s="183">
        <f>IF('[1]Annual Parameters Source'!I102="","-",'[1]Annual Parameters Source'!I102)</f>
        <v>0.29603672103788448</v>
      </c>
      <c r="J102" s="184">
        <f>IF('[1]Annual Parameters Source'!J102="","-",'[1]Annual Parameters Source'!J102)</f>
        <v>140.53044459403486</v>
      </c>
      <c r="K102" s="182" t="str">
        <f>IF('[1]Annual Parameters Source'!K102="","-",'[1]Annual Parameters Source'!K102)</f>
        <v>-</v>
      </c>
      <c r="L102" s="183">
        <f>IF('[1]Annual Parameters Source'!L102="","-",'[1]Annual Parameters Source'!L102)</f>
        <v>0.29603672103788448</v>
      </c>
      <c r="M102" s="184">
        <f>IF('[1]Annual Parameters Source'!M102="","-",'[1]Annual Parameters Source'!M102)</f>
        <v>146.86367946854182</v>
      </c>
      <c r="N102" s="182" t="str">
        <f>IF('[1]Annual Parameters Source'!N102="","-",'[1]Annual Parameters Source'!N102)</f>
        <v>-</v>
      </c>
      <c r="O102" s="183">
        <f>IF('[1]Annual Parameters Source'!O102="","-",'[1]Annual Parameters Source'!O102)</f>
        <v>2.2971628334331085</v>
      </c>
      <c r="P102" s="184">
        <f>IF('[1]Annual Parameters Source'!P102="","-",'[1]Annual Parameters Source'!P102)</f>
        <v>372.34522566394998</v>
      </c>
      <c r="Q102" s="182" t="str">
        <f>IF('[1]Annual Parameters Source'!Q102="","-",'[1]Annual Parameters Source'!Q102)</f>
        <v>-</v>
      </c>
      <c r="R102" s="183">
        <f>IF('[1]Annual Parameters Source'!R102="","-",'[1]Annual Parameters Source'!R102)</f>
        <v>2.2971628334331085</v>
      </c>
      <c r="S102" s="184">
        <f>IF('[1]Annual Parameters Source'!S102="","-",'[1]Annual Parameters Source'!S102)</f>
        <v>320.73095328164914</v>
      </c>
      <c r="T102" s="183">
        <f>IF('[1]Annual Parameters Source'!T102="","-",'[1]Annual Parameters Source'!T102)</f>
        <v>2.2971628334331085</v>
      </c>
      <c r="U102" s="183">
        <f>IF('[1]Annual Parameters Source'!U102="","-",'[1]Annual Parameters Source'!U102)</f>
        <v>2.2971628334331085</v>
      </c>
      <c r="V102" s="185">
        <f>IF('[1]Annual Parameters Source'!V102="","-",'[1]Annual Parameters Source'!V102)</f>
        <v>289.84066949026317</v>
      </c>
      <c r="W102" s="186">
        <f>IF('[1]Annual Parameters Source'!W102="","-",'[1]Annual Parameters Source'!W102)</f>
        <v>289.84066949026317</v>
      </c>
    </row>
    <row r="103" spans="1:23" ht="13.5" customHeight="1" x14ac:dyDescent="0.25">
      <c r="A103" s="180"/>
      <c r="B103" s="85">
        <f t="shared" si="0"/>
        <v>2064</v>
      </c>
      <c r="C103" s="138"/>
      <c r="D103" s="181">
        <f>IF('[1]Annual Parameters Source'!D103="","-",'[1]Annual Parameters Source'!D103/VLOOKUP($B$14,'[1]Annual Parameters Source'!$B$29:$D$139,3,1)*100)</f>
        <v>318.36358685403781</v>
      </c>
      <c r="E103" s="182" t="str">
        <f>IF('[1]Annual Parameters Source'!E103="","-",'[1]Annual Parameters Source'!E103)</f>
        <v>-</v>
      </c>
      <c r="F103" s="183">
        <f>IF('[1]Annual Parameters Source'!F103="","-",'[1]Annual Parameters Source'!F103)</f>
        <v>2.5</v>
      </c>
      <c r="G103" s="184">
        <f>IF('[1]Annual Parameters Source'!G103="","-",'[1]Annual Parameters Source'!G103)</f>
        <v>536.33986107646729</v>
      </c>
      <c r="H103" s="182" t="str">
        <f>IF('[1]Annual Parameters Source'!H103="","-",'[1]Annual Parameters Source'!H103)</f>
        <v>-</v>
      </c>
      <c r="I103" s="183">
        <f>IF('[1]Annual Parameters Source'!I103="","-",'[1]Annual Parameters Source'!I103)</f>
        <v>0.29603672103788448</v>
      </c>
      <c r="J103" s="184">
        <f>IF('[1]Annual Parameters Source'!J103="","-",'[1]Annual Parameters Source'!J103)</f>
        <v>140.94646631427099</v>
      </c>
      <c r="K103" s="182" t="str">
        <f>IF('[1]Annual Parameters Source'!K103="","-",'[1]Annual Parameters Source'!K103)</f>
        <v>-</v>
      </c>
      <c r="L103" s="183">
        <f>IF('[1]Annual Parameters Source'!L103="","-",'[1]Annual Parameters Source'!L103)</f>
        <v>0.29603672103788448</v>
      </c>
      <c r="M103" s="184">
        <f>IF('[1]Annual Parameters Source'!M103="","-",'[1]Annual Parameters Source'!M103)</f>
        <v>147.29844988963606</v>
      </c>
      <c r="N103" s="182" t="str">
        <f>IF('[1]Annual Parameters Source'!N103="","-",'[1]Annual Parameters Source'!N103)</f>
        <v>-</v>
      </c>
      <c r="O103" s="183">
        <f>IF('[1]Annual Parameters Source'!O103="","-",'[1]Annual Parameters Source'!O103)</f>
        <v>2.1974579963635055</v>
      </c>
      <c r="P103" s="184">
        <f>IF('[1]Annual Parameters Source'!P103="","-",'[1]Annual Parameters Source'!P103)</f>
        <v>380.52735559938014</v>
      </c>
      <c r="Q103" s="182" t="str">
        <f>IF('[1]Annual Parameters Source'!Q103="","-",'[1]Annual Parameters Source'!Q103)</f>
        <v>-</v>
      </c>
      <c r="R103" s="183">
        <f>IF('[1]Annual Parameters Source'!R103="","-",'[1]Annual Parameters Source'!R103)</f>
        <v>2.1974579963635055</v>
      </c>
      <c r="S103" s="184">
        <f>IF('[1]Annual Parameters Source'!S103="","-",'[1]Annual Parameters Source'!S103)</f>
        <v>327.77888126134968</v>
      </c>
      <c r="T103" s="183">
        <f>IF('[1]Annual Parameters Source'!T103="","-",'[1]Annual Parameters Source'!T103)</f>
        <v>2.1974579963635055</v>
      </c>
      <c r="U103" s="183">
        <f>IF('[1]Annual Parameters Source'!U103="","-",'[1]Annual Parameters Source'!U103)</f>
        <v>2.1974579963635055</v>
      </c>
      <c r="V103" s="185">
        <f>IF('[1]Annual Parameters Source'!V103="","-",'[1]Annual Parameters Source'!V103)</f>
        <v>296.20979645869045</v>
      </c>
      <c r="W103" s="186">
        <f>IF('[1]Annual Parameters Source'!W103="","-",'[1]Annual Parameters Source'!W103)</f>
        <v>296.20979645869045</v>
      </c>
    </row>
    <row r="104" spans="1:23" ht="13.5" customHeight="1" x14ac:dyDescent="0.25">
      <c r="A104" s="180"/>
      <c r="B104" s="85">
        <f t="shared" si="0"/>
        <v>2065</v>
      </c>
      <c r="C104" s="138"/>
      <c r="D104" s="181">
        <f>IF('[1]Annual Parameters Source'!D104="","-",'[1]Annual Parameters Source'!D104/VLOOKUP($B$14,'[1]Annual Parameters Source'!$B$29:$D$139,3,1)*100)</f>
        <v>325.68594935168062</v>
      </c>
      <c r="E104" s="182" t="str">
        <f>IF('[1]Annual Parameters Source'!E104="","-",'[1]Annual Parameters Source'!E104)</f>
        <v>-</v>
      </c>
      <c r="F104" s="183">
        <f>IF('[1]Annual Parameters Source'!F104="","-",'[1]Annual Parameters Source'!F104)</f>
        <v>2.5</v>
      </c>
      <c r="G104" s="184">
        <f>IF('[1]Annual Parameters Source'!G104="","-",'[1]Annual Parameters Source'!G104)</f>
        <v>549.74835760337896</v>
      </c>
      <c r="H104" s="182" t="str">
        <f>IF('[1]Annual Parameters Source'!H104="","-",'[1]Annual Parameters Source'!H104)</f>
        <v>-</v>
      </c>
      <c r="I104" s="183">
        <f>IF('[1]Annual Parameters Source'!I104="","-",'[1]Annual Parameters Source'!I104)</f>
        <v>0.29603672103788448</v>
      </c>
      <c r="J104" s="184">
        <f>IF('[1]Annual Parameters Source'!J104="","-",'[1]Annual Parameters Source'!J104)</f>
        <v>141.36371961156652</v>
      </c>
      <c r="K104" s="182" t="str">
        <f>IF('[1]Annual Parameters Source'!K104="","-",'[1]Annual Parameters Source'!K104)</f>
        <v>-</v>
      </c>
      <c r="L104" s="183">
        <f>IF('[1]Annual Parameters Source'!L104="","-",'[1]Annual Parameters Source'!L104)</f>
        <v>0.29603672103788448</v>
      </c>
      <c r="M104" s="184">
        <f>IF('[1]Annual Parameters Source'!M104="","-",'[1]Annual Parameters Source'!M104)</f>
        <v>147.73450739082898</v>
      </c>
      <c r="N104" s="182" t="str">
        <f>IF('[1]Annual Parameters Source'!N104="","-",'[1]Annual Parameters Source'!N104)</f>
        <v>-</v>
      </c>
      <c r="O104" s="183">
        <f>IF('[1]Annual Parameters Source'!O104="","-",'[1]Annual Parameters Source'!O104)</f>
        <v>2.1974579963635055</v>
      </c>
      <c r="P104" s="184">
        <f>IF('[1]Annual Parameters Source'!P104="","-",'[1]Annual Parameters Source'!P104)</f>
        <v>388.88928440334928</v>
      </c>
      <c r="Q104" s="182" t="str">
        <f>IF('[1]Annual Parameters Source'!Q104="","-",'[1]Annual Parameters Source'!Q104)</f>
        <v>-</v>
      </c>
      <c r="R104" s="183">
        <f>IF('[1]Annual Parameters Source'!R104="","-",'[1]Annual Parameters Source'!R104)</f>
        <v>2.1974579963635055</v>
      </c>
      <c r="S104" s="184">
        <f>IF('[1]Annual Parameters Source'!S104="","-",'[1]Annual Parameters Source'!S104)</f>
        <v>334.98168449801807</v>
      </c>
      <c r="T104" s="183">
        <f>IF('[1]Annual Parameters Source'!T104="","-",'[1]Annual Parameters Source'!T104)</f>
        <v>2.1974579963635055</v>
      </c>
      <c r="U104" s="183">
        <f>IF('[1]Annual Parameters Source'!U104="","-",'[1]Annual Parameters Source'!U104)</f>
        <v>2.1974579963635055</v>
      </c>
      <c r="V104" s="185">
        <f>IF('[1]Annual Parameters Source'!V104="","-",'[1]Annual Parameters Source'!V104)</f>
        <v>302.71888231698398</v>
      </c>
      <c r="W104" s="186">
        <f>IF('[1]Annual Parameters Source'!W104="","-",'[1]Annual Parameters Source'!W104)</f>
        <v>302.71888231698398</v>
      </c>
    </row>
    <row r="105" spans="1:23" ht="13.5" customHeight="1" x14ac:dyDescent="0.25">
      <c r="A105" s="180"/>
      <c r="B105" s="85">
        <f t="shared" si="0"/>
        <v>2066</v>
      </c>
      <c r="C105" s="138"/>
      <c r="D105" s="181">
        <f>IF('[1]Annual Parameters Source'!D105="","-",'[1]Annual Parameters Source'!D105/VLOOKUP($B$14,'[1]Annual Parameters Source'!$B$29:$D$139,3,1)*100)</f>
        <v>333.17672618676926</v>
      </c>
      <c r="E105" s="182" t="str">
        <f>IF('[1]Annual Parameters Source'!E105="","-",'[1]Annual Parameters Source'!E105)</f>
        <v>-</v>
      </c>
      <c r="F105" s="183">
        <f>IF('[1]Annual Parameters Source'!F105="","-",'[1]Annual Parameters Source'!F105)</f>
        <v>2.5</v>
      </c>
      <c r="G105" s="184">
        <f>IF('[1]Annual Parameters Source'!G105="","-",'[1]Annual Parameters Source'!G105)</f>
        <v>563.49206654346347</v>
      </c>
      <c r="H105" s="182" t="str">
        <f>IF('[1]Annual Parameters Source'!H105="","-",'[1]Annual Parameters Source'!H105)</f>
        <v>-</v>
      </c>
      <c r="I105" s="183">
        <f>IF('[1]Annual Parameters Source'!I105="","-",'[1]Annual Parameters Source'!I105)</f>
        <v>0.29603672103788448</v>
      </c>
      <c r="J105" s="184">
        <f>IF('[1]Annual Parameters Source'!J105="","-",'[1]Annual Parameters Source'!J105)</f>
        <v>141.78220813184177</v>
      </c>
      <c r="K105" s="182" t="str">
        <f>IF('[1]Annual Parameters Source'!K105="","-",'[1]Annual Parameters Source'!K105)</f>
        <v>-</v>
      </c>
      <c r="L105" s="183">
        <f>IF('[1]Annual Parameters Source'!L105="","-",'[1]Annual Parameters Source'!L105)</f>
        <v>0.29603672103788448</v>
      </c>
      <c r="M105" s="184">
        <f>IF('[1]Annual Parameters Source'!M105="","-",'[1]Annual Parameters Source'!M105)</f>
        <v>148.17185578235024</v>
      </c>
      <c r="N105" s="182" t="str">
        <f>IF('[1]Annual Parameters Source'!N105="","-",'[1]Annual Parameters Source'!N105)</f>
        <v>-</v>
      </c>
      <c r="O105" s="183">
        <f>IF('[1]Annual Parameters Source'!O105="","-",'[1]Annual Parameters Source'!O105)</f>
        <v>2.1974579963635055</v>
      </c>
      <c r="P105" s="184">
        <f>IF('[1]Annual Parameters Source'!P105="","-",'[1]Annual Parameters Source'!P105)</f>
        <v>397.4349630804715</v>
      </c>
      <c r="Q105" s="182" t="str">
        <f>IF('[1]Annual Parameters Source'!Q105="","-",'[1]Annual Parameters Source'!Q105)</f>
        <v>-</v>
      </c>
      <c r="R105" s="183">
        <f>IF('[1]Annual Parameters Source'!R105="","-",'[1]Annual Parameters Source'!R105)</f>
        <v>2.1974579963635055</v>
      </c>
      <c r="S105" s="184">
        <f>IF('[1]Annual Parameters Source'!S105="","-",'[1]Annual Parameters Source'!S105)</f>
        <v>342.34276631037295</v>
      </c>
      <c r="T105" s="183">
        <f>IF('[1]Annual Parameters Source'!T105="","-",'[1]Annual Parameters Source'!T105)</f>
        <v>2.1974579963635055</v>
      </c>
      <c r="U105" s="183">
        <f>IF('[1]Annual Parameters Source'!U105="","-",'[1]Annual Parameters Source'!U105)</f>
        <v>2.1974579963635055</v>
      </c>
      <c r="V105" s="185">
        <f>IF('[1]Annual Parameters Source'!V105="","-",'[1]Annual Parameters Source'!V105)</f>
        <v>309.3710026029608</v>
      </c>
      <c r="W105" s="186">
        <f>IF('[1]Annual Parameters Source'!W105="","-",'[1]Annual Parameters Source'!W105)</f>
        <v>309.3710026029608</v>
      </c>
    </row>
    <row r="106" spans="1:23" ht="13.5" customHeight="1" x14ac:dyDescent="0.25">
      <c r="A106" s="180"/>
      <c r="B106" s="85">
        <f t="shared" si="0"/>
        <v>2067</v>
      </c>
      <c r="C106" s="138"/>
      <c r="D106" s="181">
        <f>IF('[1]Annual Parameters Source'!D106="","-",'[1]Annual Parameters Source'!D106/VLOOKUP($B$14,'[1]Annual Parameters Source'!$B$29:$D$139,3,1)*100)</f>
        <v>340.83979088906494</v>
      </c>
      <c r="E106" s="182" t="str">
        <f>IF('[1]Annual Parameters Source'!E106="","-",'[1]Annual Parameters Source'!E106)</f>
        <v>-</v>
      </c>
      <c r="F106" s="183">
        <f>IF('[1]Annual Parameters Source'!F106="","-",'[1]Annual Parameters Source'!F106)</f>
        <v>2.5</v>
      </c>
      <c r="G106" s="184">
        <f>IF('[1]Annual Parameters Source'!G106="","-",'[1]Annual Parameters Source'!G106)</f>
        <v>577.57936820705004</v>
      </c>
      <c r="H106" s="182" t="str">
        <f>IF('[1]Annual Parameters Source'!H106="","-",'[1]Annual Parameters Source'!H106)</f>
        <v>-</v>
      </c>
      <c r="I106" s="183">
        <f>IF('[1]Annual Parameters Source'!I106="","-",'[1]Annual Parameters Source'!I106)</f>
        <v>0.30942574335044437</v>
      </c>
      <c r="J106" s="184">
        <f>IF('[1]Annual Parameters Source'!J106="","-",'[1]Annual Parameters Source'!J106)</f>
        <v>142.2209187832924</v>
      </c>
      <c r="K106" s="182" t="str">
        <f>IF('[1]Annual Parameters Source'!K106="","-",'[1]Annual Parameters Source'!K106)</f>
        <v>-</v>
      </c>
      <c r="L106" s="183">
        <f>IF('[1]Annual Parameters Source'!L106="","-",'[1]Annual Parameters Source'!L106)</f>
        <v>0.30942574335044437</v>
      </c>
      <c r="M106" s="184">
        <f>IF('[1]Annual Parameters Source'!M106="","-",'[1]Annual Parameters Source'!M106)</f>
        <v>148.63033764854092</v>
      </c>
      <c r="N106" s="182" t="str">
        <f>IF('[1]Annual Parameters Source'!N106="","-",'[1]Annual Parameters Source'!N106)</f>
        <v>-</v>
      </c>
      <c r="O106" s="183">
        <f>IF('[1]Annual Parameters Source'!O106="","-",'[1]Annual Parameters Source'!O106)</f>
        <v>2.1838169647729</v>
      </c>
      <c r="P106" s="184">
        <f>IF('[1]Annual Parameters Source'!P106="","-",'[1]Annual Parameters Source'!P106)</f>
        <v>406.11421522816175</v>
      </c>
      <c r="Q106" s="182" t="str">
        <f>IF('[1]Annual Parameters Source'!Q106="","-",'[1]Annual Parameters Source'!Q106)</f>
        <v>-</v>
      </c>
      <c r="R106" s="183">
        <f>IF('[1]Annual Parameters Source'!R106="","-",'[1]Annual Parameters Source'!R106)</f>
        <v>2.1838169647729</v>
      </c>
      <c r="S106" s="184">
        <f>IF('[1]Annual Parameters Source'!S106="","-",'[1]Annual Parameters Source'!S106)</f>
        <v>349.81890571873168</v>
      </c>
      <c r="T106" s="183">
        <f>IF('[1]Annual Parameters Source'!T106="","-",'[1]Annual Parameters Source'!T106)</f>
        <v>2.1838169647729</v>
      </c>
      <c r="U106" s="183">
        <f>IF('[1]Annual Parameters Source'!U106="","-",'[1]Annual Parameters Source'!U106)</f>
        <v>2.1838169647729</v>
      </c>
      <c r="V106" s="185">
        <f>IF('[1]Annual Parameters Source'!V106="","-",'[1]Annual Parameters Source'!V106)</f>
        <v>316.12709904189228</v>
      </c>
      <c r="W106" s="186">
        <f>IF('[1]Annual Parameters Source'!W106="","-",'[1]Annual Parameters Source'!W106)</f>
        <v>316.12709904189228</v>
      </c>
    </row>
    <row r="107" spans="1:23" ht="13.5" customHeight="1" x14ac:dyDescent="0.25">
      <c r="A107" s="180"/>
      <c r="B107" s="85">
        <f t="shared" si="0"/>
        <v>2068</v>
      </c>
      <c r="C107" s="138"/>
      <c r="D107" s="181">
        <f>IF('[1]Annual Parameters Source'!D107="","-",'[1]Annual Parameters Source'!D107/VLOOKUP($B$14,'[1]Annual Parameters Source'!$B$29:$D$139,3,1)*100)</f>
        <v>348.67910607951342</v>
      </c>
      <c r="E107" s="182" t="str">
        <f>IF('[1]Annual Parameters Source'!E107="","-",'[1]Annual Parameters Source'!E107)</f>
        <v>-</v>
      </c>
      <c r="F107" s="183">
        <f>IF('[1]Annual Parameters Source'!F107="","-",'[1]Annual Parameters Source'!F107)</f>
        <v>2.5</v>
      </c>
      <c r="G107" s="184">
        <f>IF('[1]Annual Parameters Source'!G107="","-",'[1]Annual Parameters Source'!G107)</f>
        <v>592.01885241222624</v>
      </c>
      <c r="H107" s="182" t="str">
        <f>IF('[1]Annual Parameters Source'!H107="","-",'[1]Annual Parameters Source'!H107)</f>
        <v>-</v>
      </c>
      <c r="I107" s="183">
        <f>IF('[1]Annual Parameters Source'!I107="","-",'[1]Annual Parameters Source'!I107)</f>
        <v>0.30942574335044437</v>
      </c>
      <c r="J107" s="184">
        <f>IF('[1]Annual Parameters Source'!J107="","-",'[1]Annual Parameters Source'!J107)</f>
        <v>142.66098691843746</v>
      </c>
      <c r="K107" s="182" t="str">
        <f>IF('[1]Annual Parameters Source'!K107="","-",'[1]Annual Parameters Source'!K107)</f>
        <v>-</v>
      </c>
      <c r="L107" s="183">
        <f>IF('[1]Annual Parameters Source'!L107="","-",'[1]Annual Parameters Source'!L107)</f>
        <v>0.30942574335044437</v>
      </c>
      <c r="M107" s="184">
        <f>IF('[1]Annual Parameters Source'!M107="","-",'[1]Annual Parameters Source'!M107)</f>
        <v>149.09023817565421</v>
      </c>
      <c r="N107" s="182" t="str">
        <f>IF('[1]Annual Parameters Source'!N107="","-",'[1]Annual Parameters Source'!N107)</f>
        <v>-</v>
      </c>
      <c r="O107" s="183">
        <f>IF('[1]Annual Parameters Source'!O107="","-",'[1]Annual Parameters Source'!O107)</f>
        <v>2.1838169647729</v>
      </c>
      <c r="P107" s="184">
        <f>IF('[1]Annual Parameters Source'!P107="","-",'[1]Annual Parameters Source'!P107)</f>
        <v>414.98300635666868</v>
      </c>
      <c r="Q107" s="182" t="str">
        <f>IF('[1]Annual Parameters Source'!Q107="","-",'[1]Annual Parameters Source'!Q107)</f>
        <v>-</v>
      </c>
      <c r="R107" s="183">
        <f>IF('[1]Annual Parameters Source'!R107="","-",'[1]Annual Parameters Source'!R107)</f>
        <v>2.1838169647729</v>
      </c>
      <c r="S107" s="184">
        <f>IF('[1]Annual Parameters Source'!S107="","-",'[1]Annual Parameters Source'!S107)</f>
        <v>357.45831032780029</v>
      </c>
      <c r="T107" s="183">
        <f>IF('[1]Annual Parameters Source'!T107="","-",'[1]Annual Parameters Source'!T107)</f>
        <v>2.1838169647729</v>
      </c>
      <c r="U107" s="183">
        <f>IF('[1]Annual Parameters Source'!U107="","-",'[1]Annual Parameters Source'!U107)</f>
        <v>2.1838169647729</v>
      </c>
      <c r="V107" s="185">
        <f>IF('[1]Annual Parameters Source'!V107="","-",'[1]Annual Parameters Source'!V107)</f>
        <v>323.03073626101354</v>
      </c>
      <c r="W107" s="186">
        <f>IF('[1]Annual Parameters Source'!W107="","-",'[1]Annual Parameters Source'!W107)</f>
        <v>323.03073626101354</v>
      </c>
    </row>
    <row r="108" spans="1:23" ht="13.5" customHeight="1" x14ac:dyDescent="0.25">
      <c r="A108" s="180"/>
      <c r="B108" s="85">
        <f t="shared" si="0"/>
        <v>2069</v>
      </c>
      <c r="C108" s="138"/>
      <c r="D108" s="181">
        <f>IF('[1]Annual Parameters Source'!D108="","-",'[1]Annual Parameters Source'!D108/VLOOKUP($B$14,'[1]Annual Parameters Source'!$B$29:$D$139,3,1)*100)</f>
        <v>356.69872551934219</v>
      </c>
      <c r="E108" s="182" t="str">
        <f>IF('[1]Annual Parameters Source'!E108="","-",'[1]Annual Parameters Source'!E108)</f>
        <v>-</v>
      </c>
      <c r="F108" s="183">
        <f>IF('[1]Annual Parameters Source'!F108="","-",'[1]Annual Parameters Source'!F108)</f>
        <v>2.5</v>
      </c>
      <c r="G108" s="184">
        <f>IF('[1]Annual Parameters Source'!G108="","-",'[1]Annual Parameters Source'!G108)</f>
        <v>606.81932372253186</v>
      </c>
      <c r="H108" s="182" t="str">
        <f>IF('[1]Annual Parameters Source'!H108="","-",'[1]Annual Parameters Source'!H108)</f>
        <v>-</v>
      </c>
      <c r="I108" s="183">
        <f>IF('[1]Annual Parameters Source'!I108="","-",'[1]Annual Parameters Source'!I108)</f>
        <v>0.30942574335044437</v>
      </c>
      <c r="J108" s="184">
        <f>IF('[1]Annual Parameters Source'!J108="","-",'[1]Annual Parameters Source'!J108)</f>
        <v>143.10241673768093</v>
      </c>
      <c r="K108" s="182" t="str">
        <f>IF('[1]Annual Parameters Source'!K108="","-",'[1]Annual Parameters Source'!K108)</f>
        <v>-</v>
      </c>
      <c r="L108" s="183">
        <f>IF('[1]Annual Parameters Source'!L108="","-",'[1]Annual Parameters Source'!L108)</f>
        <v>0.30942574335044437</v>
      </c>
      <c r="M108" s="184">
        <f>IF('[1]Annual Parameters Source'!M108="","-",'[1]Annual Parameters Source'!M108)</f>
        <v>149.55156175339218</v>
      </c>
      <c r="N108" s="182" t="str">
        <f>IF('[1]Annual Parameters Source'!N108="","-",'[1]Annual Parameters Source'!N108)</f>
        <v>-</v>
      </c>
      <c r="O108" s="183">
        <f>IF('[1]Annual Parameters Source'!O108="","-",'[1]Annual Parameters Source'!O108)</f>
        <v>2.1838169647729</v>
      </c>
      <c r="P108" s="184">
        <f>IF('[1]Annual Parameters Source'!P108="","-",'[1]Annual Parameters Source'!P108)</f>
        <v>424.04547565041025</v>
      </c>
      <c r="Q108" s="182" t="str">
        <f>IF('[1]Annual Parameters Source'!Q108="","-",'[1]Annual Parameters Source'!Q108)</f>
        <v>-</v>
      </c>
      <c r="R108" s="183">
        <f>IF('[1]Annual Parameters Source'!R108="","-",'[1]Annual Parameters Source'!R108)</f>
        <v>2.1838169647729</v>
      </c>
      <c r="S108" s="184">
        <f>IF('[1]Annual Parameters Source'!S108="","-",'[1]Annual Parameters Source'!S108)</f>
        <v>365.26454555072939</v>
      </c>
      <c r="T108" s="183">
        <f>IF('[1]Annual Parameters Source'!T108="","-",'[1]Annual Parameters Source'!T108)</f>
        <v>2.1838169647729</v>
      </c>
      <c r="U108" s="183">
        <f>IF('[1]Annual Parameters Source'!U108="","-",'[1]Annual Parameters Source'!U108)</f>
        <v>2.1838169647729</v>
      </c>
      <c r="V108" s="185">
        <f>IF('[1]Annual Parameters Source'!V108="","-",'[1]Annual Parameters Source'!V108)</f>
        <v>330.08513628091237</v>
      </c>
      <c r="W108" s="186">
        <f>IF('[1]Annual Parameters Source'!W108="","-",'[1]Annual Parameters Source'!W108)</f>
        <v>330.08513628091237</v>
      </c>
    </row>
    <row r="109" spans="1:23" ht="13.5" customHeight="1" x14ac:dyDescent="0.25">
      <c r="A109" s="180"/>
      <c r="B109" s="85">
        <f t="shared" si="0"/>
        <v>2070</v>
      </c>
      <c r="C109" s="138"/>
      <c r="D109" s="181">
        <f>IF('[1]Annual Parameters Source'!D109="","-",'[1]Annual Parameters Source'!D109/VLOOKUP($B$14,'[1]Annual Parameters Source'!$B$29:$D$139,3,1)*100)</f>
        <v>364.90279620628706</v>
      </c>
      <c r="E109" s="182" t="str">
        <f>IF('[1]Annual Parameters Source'!E109="","-",'[1]Annual Parameters Source'!E109)</f>
        <v>-</v>
      </c>
      <c r="F109" s="183">
        <f>IF('[1]Annual Parameters Source'!F109="","-",'[1]Annual Parameters Source'!F109)</f>
        <v>2.5</v>
      </c>
      <c r="G109" s="184">
        <f>IF('[1]Annual Parameters Source'!G109="","-",'[1]Annual Parameters Source'!G109)</f>
        <v>621.9898068155951</v>
      </c>
      <c r="H109" s="182" t="str">
        <f>IF('[1]Annual Parameters Source'!H109="","-",'[1]Annual Parameters Source'!H109)</f>
        <v>-</v>
      </c>
      <c r="I109" s="183">
        <f>IF('[1]Annual Parameters Source'!I109="","-",'[1]Annual Parameters Source'!I109)</f>
        <v>0.30942574335044437</v>
      </c>
      <c r="J109" s="184">
        <f>IF('[1]Annual Parameters Source'!J109="","-",'[1]Annual Parameters Source'!J109)</f>
        <v>143.54521245442393</v>
      </c>
      <c r="K109" s="182" t="str">
        <f>IF('[1]Annual Parameters Source'!K109="","-",'[1]Annual Parameters Source'!K109)</f>
        <v>-</v>
      </c>
      <c r="L109" s="183">
        <f>IF('[1]Annual Parameters Source'!L109="","-",'[1]Annual Parameters Source'!L109)</f>
        <v>0.30942574335044437</v>
      </c>
      <c r="M109" s="184">
        <f>IF('[1]Annual Parameters Source'!M109="","-",'[1]Annual Parameters Source'!M109)</f>
        <v>150.01431278503981</v>
      </c>
      <c r="N109" s="182" t="str">
        <f>IF('[1]Annual Parameters Source'!N109="","-",'[1]Annual Parameters Source'!N109)</f>
        <v>-</v>
      </c>
      <c r="O109" s="183">
        <f>IF('[1]Annual Parameters Source'!O109="","-",'[1]Annual Parameters Source'!O109)</f>
        <v>2.1838169647729</v>
      </c>
      <c r="P109" s="184">
        <f>IF('[1]Annual Parameters Source'!P109="","-",'[1]Annual Parameters Source'!P109)</f>
        <v>433.30585268601584</v>
      </c>
      <c r="Q109" s="182" t="str">
        <f>IF('[1]Annual Parameters Source'!Q109="","-",'[1]Annual Parameters Source'!Q109)</f>
        <v>-</v>
      </c>
      <c r="R109" s="183">
        <f>IF('[1]Annual Parameters Source'!R109="","-",'[1]Annual Parameters Source'!R109)</f>
        <v>2.1838169647729</v>
      </c>
      <c r="S109" s="184">
        <f>IF('[1]Annual Parameters Source'!S109="","-",'[1]Annual Parameters Source'!S109)</f>
        <v>373.24125466276689</v>
      </c>
      <c r="T109" s="183">
        <f>IF('[1]Annual Parameters Source'!T109="","-",'[1]Annual Parameters Source'!T109)</f>
        <v>2.1838169647729</v>
      </c>
      <c r="U109" s="183">
        <f>IF('[1]Annual Parameters Source'!U109="","-",'[1]Annual Parameters Source'!U109)</f>
        <v>2.1838169647729</v>
      </c>
      <c r="V109" s="185">
        <f>IF('[1]Annual Parameters Source'!V109="","-",'[1]Annual Parameters Source'!V109)</f>
        <v>337.29359148520865</v>
      </c>
      <c r="W109" s="186">
        <f>IF('[1]Annual Parameters Source'!W109="","-",'[1]Annual Parameters Source'!W109)</f>
        <v>337.29359148520865</v>
      </c>
    </row>
    <row r="110" spans="1:23" ht="13.5" customHeight="1" x14ac:dyDescent="0.25">
      <c r="A110" s="180"/>
      <c r="B110" s="85">
        <f t="shared" si="0"/>
        <v>2071</v>
      </c>
      <c r="C110" s="138"/>
      <c r="D110" s="181">
        <f>IF('[1]Annual Parameters Source'!D110="","-",'[1]Annual Parameters Source'!D110/VLOOKUP($B$14,'[1]Annual Parameters Source'!$B$29:$D$139,3,1)*100)</f>
        <v>373.29556051903154</v>
      </c>
      <c r="E110" s="182" t="str">
        <f>IF('[1]Annual Parameters Source'!E110="","-",'[1]Annual Parameters Source'!E110)</f>
        <v>-</v>
      </c>
      <c r="F110" s="183">
        <f>IF('[1]Annual Parameters Source'!F110="","-",'[1]Annual Parameters Source'!F110)</f>
        <v>2.5</v>
      </c>
      <c r="G110" s="184">
        <f>IF('[1]Annual Parameters Source'!G110="","-",'[1]Annual Parameters Source'!G110)</f>
        <v>637.53955198598499</v>
      </c>
      <c r="H110" s="182" t="str">
        <f>IF('[1]Annual Parameters Source'!H110="","-",'[1]Annual Parameters Source'!H110)</f>
        <v>-</v>
      </c>
      <c r="I110" s="183">
        <f>IF('[1]Annual Parameters Source'!I110="","-",'[1]Annual Parameters Source'!I110)</f>
        <v>0.30942574335044437</v>
      </c>
      <c r="J110" s="184">
        <f>IF('[1]Annual Parameters Source'!J110="","-",'[1]Annual Parameters Source'!J110)</f>
        <v>143.98937829510501</v>
      </c>
      <c r="K110" s="182" t="str">
        <f>IF('[1]Annual Parameters Source'!K110="","-",'[1]Annual Parameters Source'!K110)</f>
        <v>-</v>
      </c>
      <c r="L110" s="183">
        <f>IF('[1]Annual Parameters Source'!L110="","-",'[1]Annual Parameters Source'!L110)</f>
        <v>0.30942574335044437</v>
      </c>
      <c r="M110" s="184">
        <f>IF('[1]Annual Parameters Source'!M110="","-",'[1]Annual Parameters Source'!M110)</f>
        <v>150.47849568750698</v>
      </c>
      <c r="N110" s="182" t="str">
        <f>IF('[1]Annual Parameters Source'!N110="","-",'[1]Annual Parameters Source'!N110)</f>
        <v>-</v>
      </c>
      <c r="O110" s="183">
        <f>IF('[1]Annual Parameters Source'!O110="","-",'[1]Annual Parameters Source'!O110)</f>
        <v>2.1838169647729</v>
      </c>
      <c r="P110" s="184">
        <f>IF('[1]Annual Parameters Source'!P110="","-",'[1]Annual Parameters Source'!P110)</f>
        <v>442.76845940632694</v>
      </c>
      <c r="Q110" s="182" t="str">
        <f>IF('[1]Annual Parameters Source'!Q110="","-",'[1]Annual Parameters Source'!Q110)</f>
        <v>-</v>
      </c>
      <c r="R110" s="183">
        <f>IF('[1]Annual Parameters Source'!R110="","-",'[1]Annual Parameters Source'!R110)</f>
        <v>2.1838169647729</v>
      </c>
      <c r="S110" s="184">
        <f>IF('[1]Annual Parameters Source'!S110="","-",'[1]Annual Parameters Source'!S110)</f>
        <v>381.39216050162366</v>
      </c>
      <c r="T110" s="183">
        <f>IF('[1]Annual Parameters Source'!T110="","-",'[1]Annual Parameters Source'!T110)</f>
        <v>2.1838169647729</v>
      </c>
      <c r="U110" s="183">
        <f>IF('[1]Annual Parameters Source'!U110="","-",'[1]Annual Parameters Source'!U110)</f>
        <v>2.1838169647729</v>
      </c>
      <c r="V110" s="185">
        <f>IF('[1]Annual Parameters Source'!V110="","-",'[1]Annual Parameters Source'!V110)</f>
        <v>344.65946615715444</v>
      </c>
      <c r="W110" s="186">
        <f>IF('[1]Annual Parameters Source'!W110="","-",'[1]Annual Parameters Source'!W110)</f>
        <v>344.65946615715444</v>
      </c>
    </row>
    <row r="111" spans="1:23" ht="13.5" customHeight="1" x14ac:dyDescent="0.25">
      <c r="A111" s="180"/>
      <c r="B111" s="85">
        <f t="shared" si="0"/>
        <v>2072</v>
      </c>
      <c r="C111" s="138"/>
      <c r="D111" s="181">
        <f>IF('[1]Annual Parameters Source'!D111="","-",'[1]Annual Parameters Source'!D111/VLOOKUP($B$14,'[1]Annual Parameters Source'!$B$29:$D$139,3,1)*100)</f>
        <v>381.88135841096931</v>
      </c>
      <c r="E111" s="182" t="str">
        <f>IF('[1]Annual Parameters Source'!E111="","-",'[1]Annual Parameters Source'!E111)</f>
        <v>-</v>
      </c>
      <c r="F111" s="183">
        <f>IF('[1]Annual Parameters Source'!F111="","-",'[1]Annual Parameters Source'!F111)</f>
        <v>2.5</v>
      </c>
      <c r="G111" s="184">
        <f>IF('[1]Annual Parameters Source'!G111="","-",'[1]Annual Parameters Source'!G111)</f>
        <v>653.47804078563456</v>
      </c>
      <c r="H111" s="182" t="str">
        <f>IF('[1]Annual Parameters Source'!H111="","-",'[1]Annual Parameters Source'!H111)</f>
        <v>-</v>
      </c>
      <c r="I111" s="183">
        <f>IF('[1]Annual Parameters Source'!I111="","-",'[1]Annual Parameters Source'!I111)</f>
        <v>0.32470052960498208</v>
      </c>
      <c r="J111" s="184">
        <f>IF('[1]Annual Parameters Source'!J111="","-",'[1]Annual Parameters Source'!J111)</f>
        <v>144.45691256900415</v>
      </c>
      <c r="K111" s="182" t="str">
        <f>IF('[1]Annual Parameters Source'!K111="","-",'[1]Annual Parameters Source'!K111)</f>
        <v>-</v>
      </c>
      <c r="L111" s="183">
        <f>IF('[1]Annual Parameters Source'!L111="","-",'[1]Annual Parameters Source'!L111)</f>
        <v>0.32470052960498208</v>
      </c>
      <c r="M111" s="184">
        <f>IF('[1]Annual Parameters Source'!M111="","-",'[1]Annual Parameters Source'!M111)</f>
        <v>150.96710015994594</v>
      </c>
      <c r="N111" s="182" t="str">
        <f>IF('[1]Annual Parameters Source'!N111="","-",'[1]Annual Parameters Source'!N111)</f>
        <v>-</v>
      </c>
      <c r="O111" s="183">
        <f>IF('[1]Annual Parameters Source'!O111="","-",'[1]Annual Parameters Source'!O111)</f>
        <v>2.1682591215441471</v>
      </c>
      <c r="P111" s="184">
        <f>IF('[1]Annual Parameters Source'!P111="","-",'[1]Annual Parameters Source'!P111)</f>
        <v>452.36882691472516</v>
      </c>
      <c r="Q111" s="182" t="str">
        <f>IF('[1]Annual Parameters Source'!Q111="","-",'[1]Annual Parameters Source'!Q111)</f>
        <v>-</v>
      </c>
      <c r="R111" s="183">
        <f>IF('[1]Annual Parameters Source'!R111="","-",'[1]Annual Parameters Source'!R111)</f>
        <v>2.1682591215441471</v>
      </c>
      <c r="S111" s="184">
        <f>IF('[1]Annual Parameters Source'!S111="","-",'[1]Annual Parameters Source'!S111)</f>
        <v>389.66173081055445</v>
      </c>
      <c r="T111" s="183">
        <f>IF('[1]Annual Parameters Source'!T111="","-",'[1]Annual Parameters Source'!T111)</f>
        <v>2.1682591215441471</v>
      </c>
      <c r="U111" s="183">
        <f>IF('[1]Annual Parameters Source'!U111="","-",'[1]Annual Parameters Source'!U111)</f>
        <v>2.1682591215441471</v>
      </c>
      <c r="V111" s="185">
        <f>IF('[1]Annual Parameters Source'!V111="","-",'[1]Annual Parameters Source'!V111)</f>
        <v>352.13257647037233</v>
      </c>
      <c r="W111" s="186">
        <f>IF('[1]Annual Parameters Source'!W111="","-",'[1]Annual Parameters Source'!W111)</f>
        <v>352.13257647037233</v>
      </c>
    </row>
    <row r="112" spans="1:23" ht="13.5" customHeight="1" x14ac:dyDescent="0.25">
      <c r="A112" s="180"/>
      <c r="B112" s="85">
        <f t="shared" si="0"/>
        <v>2073</v>
      </c>
      <c r="C112" s="138"/>
      <c r="D112" s="181">
        <f>IF('[1]Annual Parameters Source'!D112="","-",'[1]Annual Parameters Source'!D112/VLOOKUP($B$14,'[1]Annual Parameters Source'!$B$29:$D$139,3,1)*100)</f>
        <v>390.6646296544215</v>
      </c>
      <c r="E112" s="182" t="str">
        <f>IF('[1]Annual Parameters Source'!E112="","-",'[1]Annual Parameters Source'!E112)</f>
        <v>-</v>
      </c>
      <c r="F112" s="183">
        <f>IF('[1]Annual Parameters Source'!F112="","-",'[1]Annual Parameters Source'!F112)</f>
        <v>2.5</v>
      </c>
      <c r="G112" s="184">
        <f>IF('[1]Annual Parameters Source'!G112="","-",'[1]Annual Parameters Source'!G112)</f>
        <v>669.81499180527544</v>
      </c>
      <c r="H112" s="182" t="str">
        <f>IF('[1]Annual Parameters Source'!H112="","-",'[1]Annual Parameters Source'!H112)</f>
        <v>-</v>
      </c>
      <c r="I112" s="183">
        <f>IF('[1]Annual Parameters Source'!I112="","-",'[1]Annual Parameters Source'!I112)</f>
        <v>0.32470052960498208</v>
      </c>
      <c r="J112" s="184">
        <f>IF('[1]Annual Parameters Source'!J112="","-",'[1]Annual Parameters Source'!J112)</f>
        <v>144.92596492916672</v>
      </c>
      <c r="K112" s="182" t="str">
        <f>IF('[1]Annual Parameters Source'!K112="","-",'[1]Annual Parameters Source'!K112)</f>
        <v>-</v>
      </c>
      <c r="L112" s="183">
        <f>IF('[1]Annual Parameters Source'!L112="","-",'[1]Annual Parameters Source'!L112)</f>
        <v>0.32470052960498208</v>
      </c>
      <c r="M112" s="184">
        <f>IF('[1]Annual Parameters Source'!M112="","-",'[1]Annual Parameters Source'!M112)</f>
        <v>151.45729113369458</v>
      </c>
      <c r="N112" s="182" t="str">
        <f>IF('[1]Annual Parameters Source'!N112="","-",'[1]Annual Parameters Source'!N112)</f>
        <v>-</v>
      </c>
      <c r="O112" s="183">
        <f>IF('[1]Annual Parameters Source'!O112="","-",'[1]Annual Parameters Source'!O112)</f>
        <v>2.1682591215441471</v>
      </c>
      <c r="P112" s="184">
        <f>IF('[1]Annual Parameters Source'!P112="","-",'[1]Annual Parameters Source'!P112)</f>
        <v>462.17735526732599</v>
      </c>
      <c r="Q112" s="182" t="str">
        <f>IF('[1]Annual Parameters Source'!Q112="","-",'[1]Annual Parameters Source'!Q112)</f>
        <v>-</v>
      </c>
      <c r="R112" s="183">
        <f>IF('[1]Annual Parameters Source'!R112="","-",'[1]Annual Parameters Source'!R112)</f>
        <v>2.1682591215441471</v>
      </c>
      <c r="S112" s="184">
        <f>IF('[1]Annual Parameters Source'!S112="","-",'[1]Annual Parameters Source'!S112)</f>
        <v>398.11060683202118</v>
      </c>
      <c r="T112" s="183">
        <f>IF('[1]Annual Parameters Source'!T112="","-",'[1]Annual Parameters Source'!T112)</f>
        <v>2.1682591215441471</v>
      </c>
      <c r="U112" s="183">
        <f>IF('[1]Annual Parameters Source'!U112="","-",'[1]Annual Parameters Source'!U112)</f>
        <v>2.1682591215441471</v>
      </c>
      <c r="V112" s="185">
        <f>IF('[1]Annual Parameters Source'!V112="","-",'[1]Annual Parameters Source'!V112)</f>
        <v>359.76772317961962</v>
      </c>
      <c r="W112" s="186">
        <f>IF('[1]Annual Parameters Source'!W112="","-",'[1]Annual Parameters Source'!W112)</f>
        <v>359.76772317961962</v>
      </c>
    </row>
    <row r="113" spans="1:23" ht="13.5" customHeight="1" x14ac:dyDescent="0.25">
      <c r="A113" s="180"/>
      <c r="B113" s="85">
        <f t="shared" si="0"/>
        <v>2074</v>
      </c>
      <c r="C113" s="138"/>
      <c r="D113" s="181">
        <f>IF('[1]Annual Parameters Source'!D113="","-",'[1]Annual Parameters Source'!D113/VLOOKUP($B$14,'[1]Annual Parameters Source'!$B$29:$D$139,3,1)*100)</f>
        <v>399.64991613647322</v>
      </c>
      <c r="E113" s="182" t="str">
        <f>IF('[1]Annual Parameters Source'!E113="","-",'[1]Annual Parameters Source'!E113)</f>
        <v>-</v>
      </c>
      <c r="F113" s="183">
        <f>IF('[1]Annual Parameters Source'!F113="","-",'[1]Annual Parameters Source'!F113)</f>
        <v>2.5</v>
      </c>
      <c r="G113" s="184">
        <f>IF('[1]Annual Parameters Source'!G113="","-",'[1]Annual Parameters Source'!G113)</f>
        <v>686.56036660040729</v>
      </c>
      <c r="H113" s="182" t="str">
        <f>IF('[1]Annual Parameters Source'!H113="","-",'[1]Annual Parameters Source'!H113)</f>
        <v>-</v>
      </c>
      <c r="I113" s="183">
        <f>IF('[1]Annual Parameters Source'!I113="","-",'[1]Annual Parameters Source'!I113)</f>
        <v>0.32470052960498208</v>
      </c>
      <c r="J113" s="184">
        <f>IF('[1]Annual Parameters Source'!J113="","-",'[1]Annual Parameters Source'!J113)</f>
        <v>145.39654030482686</v>
      </c>
      <c r="K113" s="182" t="str">
        <f>IF('[1]Annual Parameters Source'!K113="","-",'[1]Annual Parameters Source'!K113)</f>
        <v>-</v>
      </c>
      <c r="L113" s="183">
        <f>IF('[1]Annual Parameters Source'!L113="","-",'[1]Annual Parameters Source'!L113)</f>
        <v>0.32470052960498208</v>
      </c>
      <c r="M113" s="184">
        <f>IF('[1]Annual Parameters Source'!M113="","-",'[1]Annual Parameters Source'!M113)</f>
        <v>151.94907376013106</v>
      </c>
      <c r="N113" s="182" t="str">
        <f>IF('[1]Annual Parameters Source'!N113="","-",'[1]Annual Parameters Source'!N113)</f>
        <v>-</v>
      </c>
      <c r="O113" s="183">
        <f>IF('[1]Annual Parameters Source'!O113="","-",'[1]Annual Parameters Source'!O113)</f>
        <v>2.1682591215441471</v>
      </c>
      <c r="P113" s="184">
        <f>IF('[1]Annual Parameters Source'!P113="","-",'[1]Annual Parameters Source'!P113)</f>
        <v>472.19855793062129</v>
      </c>
      <c r="Q113" s="182" t="str">
        <f>IF('[1]Annual Parameters Source'!Q113="","-",'[1]Annual Parameters Source'!Q113)</f>
        <v>-</v>
      </c>
      <c r="R113" s="183">
        <f>IF('[1]Annual Parameters Source'!R113="","-",'[1]Annual Parameters Source'!R113)</f>
        <v>2.1682591215441471</v>
      </c>
      <c r="S113" s="184">
        <f>IF('[1]Annual Parameters Source'!S113="","-",'[1]Annual Parameters Source'!S113)</f>
        <v>406.74267637849124</v>
      </c>
      <c r="T113" s="183">
        <f>IF('[1]Annual Parameters Source'!T113="","-",'[1]Annual Parameters Source'!T113)</f>
        <v>2.1682591215441471</v>
      </c>
      <c r="U113" s="183">
        <f>IF('[1]Annual Parameters Source'!U113="","-",'[1]Annual Parameters Source'!U113)</f>
        <v>2.1682591215441471</v>
      </c>
      <c r="V113" s="185">
        <f>IF('[1]Annual Parameters Source'!V113="","-",'[1]Annual Parameters Source'!V113)</f>
        <v>367.56841965383342</v>
      </c>
      <c r="W113" s="186">
        <f>IF('[1]Annual Parameters Source'!W113="","-",'[1]Annual Parameters Source'!W113)</f>
        <v>367.56841965383342</v>
      </c>
    </row>
    <row r="114" spans="1:23" ht="13.5" customHeight="1" x14ac:dyDescent="0.25">
      <c r="A114" s="180"/>
      <c r="B114" s="85">
        <f t="shared" si="0"/>
        <v>2075</v>
      </c>
      <c r="C114" s="138"/>
      <c r="D114" s="181">
        <f>IF('[1]Annual Parameters Source'!D114="","-",'[1]Annual Parameters Source'!D114/VLOOKUP($B$14,'[1]Annual Parameters Source'!$B$29:$D$139,3,1)*100)</f>
        <v>408.84186420761199</v>
      </c>
      <c r="E114" s="182" t="str">
        <f>IF('[1]Annual Parameters Source'!E114="","-",'[1]Annual Parameters Source'!E114)</f>
        <v>-</v>
      </c>
      <c r="F114" s="183">
        <f>IF('[1]Annual Parameters Source'!F114="","-",'[1]Annual Parameters Source'!F114)</f>
        <v>2.5</v>
      </c>
      <c r="G114" s="184">
        <f>IF('[1]Annual Parameters Source'!G114="","-",'[1]Annual Parameters Source'!G114)</f>
        <v>703.72437576541745</v>
      </c>
      <c r="H114" s="182" t="str">
        <f>IF('[1]Annual Parameters Source'!H114="","-",'[1]Annual Parameters Source'!H114)</f>
        <v>-</v>
      </c>
      <c r="I114" s="183">
        <f>IF('[1]Annual Parameters Source'!I114="","-",'[1]Annual Parameters Source'!I114)</f>
        <v>0.32470052960498208</v>
      </c>
      <c r="J114" s="184">
        <f>IF('[1]Annual Parameters Source'!J114="","-",'[1]Annual Parameters Source'!J114)</f>
        <v>145.86864364122394</v>
      </c>
      <c r="K114" s="182" t="str">
        <f>IF('[1]Annual Parameters Source'!K114="","-",'[1]Annual Parameters Source'!K114)</f>
        <v>-</v>
      </c>
      <c r="L114" s="183">
        <f>IF('[1]Annual Parameters Source'!L114="","-",'[1]Annual Parameters Source'!L114)</f>
        <v>0.32470052960498208</v>
      </c>
      <c r="M114" s="184">
        <f>IF('[1]Annual Parameters Source'!M114="","-",'[1]Annual Parameters Source'!M114)</f>
        <v>152.44245320736007</v>
      </c>
      <c r="N114" s="182" t="str">
        <f>IF('[1]Annual Parameters Source'!N114="","-",'[1]Annual Parameters Source'!N114)</f>
        <v>-</v>
      </c>
      <c r="O114" s="183">
        <f>IF('[1]Annual Parameters Source'!O114="","-",'[1]Annual Parameters Source'!O114)</f>
        <v>2.1682591215441471</v>
      </c>
      <c r="P114" s="184">
        <f>IF('[1]Annual Parameters Source'!P114="","-",'[1]Annual Parameters Source'!P114)</f>
        <v>482.4370462347519</v>
      </c>
      <c r="Q114" s="182" t="str">
        <f>IF('[1]Annual Parameters Source'!Q114="","-",'[1]Annual Parameters Source'!Q114)</f>
        <v>-</v>
      </c>
      <c r="R114" s="183">
        <f>IF('[1]Annual Parameters Source'!R114="","-",'[1]Annual Parameters Source'!R114)</f>
        <v>2.1682591215441471</v>
      </c>
      <c r="S114" s="184">
        <f>IF('[1]Annual Parameters Source'!S114="","-",'[1]Annual Parameters Source'!S114)</f>
        <v>415.56191156028069</v>
      </c>
      <c r="T114" s="183">
        <f>IF('[1]Annual Parameters Source'!T114="","-",'[1]Annual Parameters Source'!T114)</f>
        <v>2.1682591215441471</v>
      </c>
      <c r="U114" s="183">
        <f>IF('[1]Annual Parameters Source'!U114="","-",'[1]Annual Parameters Source'!U114)</f>
        <v>2.1682591215441471</v>
      </c>
      <c r="V114" s="185">
        <f>IF('[1]Annual Parameters Source'!V114="","-",'[1]Annual Parameters Source'!V114)</f>
        <v>375.53825544089335</v>
      </c>
      <c r="W114" s="186">
        <f>IF('[1]Annual Parameters Source'!W114="","-",'[1]Annual Parameters Source'!W114)</f>
        <v>375.53825544089335</v>
      </c>
    </row>
    <row r="115" spans="1:23" ht="13.5" customHeight="1" x14ac:dyDescent="0.25">
      <c r="A115" s="180"/>
      <c r="B115" s="85">
        <f t="shared" si="0"/>
        <v>2076</v>
      </c>
      <c r="C115" s="138"/>
      <c r="D115" s="181">
        <f>IF('[1]Annual Parameters Source'!D115="","-",'[1]Annual Parameters Source'!D115/VLOOKUP($B$14,'[1]Annual Parameters Source'!$B$29:$D$139,3,1)*100)</f>
        <v>418.24522708438712</v>
      </c>
      <c r="E115" s="182" t="str">
        <f>IF('[1]Annual Parameters Source'!E115="","-",'[1]Annual Parameters Source'!E115)</f>
        <v>-</v>
      </c>
      <c r="F115" s="183">
        <f>IF('[1]Annual Parameters Source'!F115="","-",'[1]Annual Parameters Source'!F115)</f>
        <v>2.5</v>
      </c>
      <c r="G115" s="184">
        <f>IF('[1]Annual Parameters Source'!G115="","-",'[1]Annual Parameters Source'!G115)</f>
        <v>721.31748515955292</v>
      </c>
      <c r="H115" s="182" t="str">
        <f>IF('[1]Annual Parameters Source'!H115="","-",'[1]Annual Parameters Source'!H115)</f>
        <v>-</v>
      </c>
      <c r="I115" s="183">
        <f>IF('[1]Annual Parameters Source'!I115="","-",'[1]Annual Parameters Source'!I115)</f>
        <v>0.32470052960498208</v>
      </c>
      <c r="J115" s="184">
        <f>IF('[1]Annual Parameters Source'!J115="","-",'[1]Annual Parameters Source'!J115)</f>
        <v>146.34227989965461</v>
      </c>
      <c r="K115" s="182" t="str">
        <f>IF('[1]Annual Parameters Source'!K115="","-",'[1]Annual Parameters Source'!K115)</f>
        <v>-</v>
      </c>
      <c r="L115" s="183">
        <f>IF('[1]Annual Parameters Source'!L115="","-",'[1]Annual Parameters Source'!L115)</f>
        <v>0.32470052960498208</v>
      </c>
      <c r="M115" s="184">
        <f>IF('[1]Annual Parameters Source'!M115="","-",'[1]Annual Parameters Source'!M115)</f>
        <v>152.9374346602672</v>
      </c>
      <c r="N115" s="182" t="str">
        <f>IF('[1]Annual Parameters Source'!N115="","-",'[1]Annual Parameters Source'!N115)</f>
        <v>-</v>
      </c>
      <c r="O115" s="183">
        <f>IF('[1]Annual Parameters Source'!O115="","-",'[1]Annual Parameters Source'!O115)</f>
        <v>2.1682591215441471</v>
      </c>
      <c r="P115" s="184">
        <f>IF('[1]Annual Parameters Source'!P115="","-",'[1]Annual Parameters Source'!P115)</f>
        <v>492.89753149544509</v>
      </c>
      <c r="Q115" s="182" t="str">
        <f>IF('[1]Annual Parameters Source'!Q115="","-",'[1]Annual Parameters Source'!Q115)</f>
        <v>-</v>
      </c>
      <c r="R115" s="183">
        <f>IF('[1]Annual Parameters Source'!R115="","-",'[1]Annual Parameters Source'!R115)</f>
        <v>2.1682591215441471</v>
      </c>
      <c r="S115" s="184">
        <f>IF('[1]Annual Parameters Source'!S115="","-",'[1]Annual Parameters Source'!S115)</f>
        <v>424.57237061334968</v>
      </c>
      <c r="T115" s="183">
        <f>IF('[1]Annual Parameters Source'!T115="","-",'[1]Annual Parameters Source'!T115)</f>
        <v>2.1682591215441471</v>
      </c>
      <c r="U115" s="183">
        <f>IF('[1]Annual Parameters Source'!U115="","-",'[1]Annual Parameters Source'!U115)</f>
        <v>2.1682591215441471</v>
      </c>
      <c r="V115" s="185">
        <f>IF('[1]Annual Parameters Source'!V115="","-",'[1]Annual Parameters Source'!V115)</f>
        <v>383.68089791937825</v>
      </c>
      <c r="W115" s="186">
        <f>IF('[1]Annual Parameters Source'!W115="","-",'[1]Annual Parameters Source'!W115)</f>
        <v>383.68089791937825</v>
      </c>
    </row>
    <row r="116" spans="1:23" ht="13.5" customHeight="1" x14ac:dyDescent="0.25">
      <c r="A116" s="180"/>
      <c r="B116" s="85">
        <f t="shared" si="0"/>
        <v>2077</v>
      </c>
      <c r="C116" s="138"/>
      <c r="D116" s="181">
        <f>IF('[1]Annual Parameters Source'!D116="","-",'[1]Annual Parameters Source'!D116/VLOOKUP($B$14,'[1]Annual Parameters Source'!$B$29:$D$139,3,1)*100)</f>
        <v>427.86486730732793</v>
      </c>
      <c r="E116" s="182" t="str">
        <f>IF('[1]Annual Parameters Source'!E116="","-",'[1]Annual Parameters Source'!E116)</f>
        <v>-</v>
      </c>
      <c r="F116" s="183">
        <f>IF('[1]Annual Parameters Source'!F116="","-",'[1]Annual Parameters Source'!F116)</f>
        <v>2.5</v>
      </c>
      <c r="G116" s="184">
        <f>IF('[1]Annual Parameters Source'!G116="","-",'[1]Annual Parameters Source'!G116)</f>
        <v>739.35042228854172</v>
      </c>
      <c r="H116" s="182" t="str">
        <f>IF('[1]Annual Parameters Source'!H116="","-",'[1]Annual Parameters Source'!H116)</f>
        <v>-</v>
      </c>
      <c r="I116" s="183">
        <f>IF('[1]Annual Parameters Source'!I116="","-",'[1]Annual Parameters Source'!I116)</f>
        <v>0.32756652282164289</v>
      </c>
      <c r="J116" s="184">
        <f>IF('[1]Annual Parameters Source'!J116="","-",'[1]Annual Parameters Source'!J116)</f>
        <v>146.82164821733983</v>
      </c>
      <c r="K116" s="182" t="str">
        <f>IF('[1]Annual Parameters Source'!K116="","-",'[1]Annual Parameters Source'!K116)</f>
        <v>-</v>
      </c>
      <c r="L116" s="183">
        <f>IF('[1]Annual Parameters Source'!L116="","-",'[1]Annual Parameters Source'!L116)</f>
        <v>0.32756652282164289</v>
      </c>
      <c r="M116" s="184">
        <f>IF('[1]Annual Parameters Source'!M116="","-",'[1]Annual Parameters Source'!M116)</f>
        <v>153.43840649707644</v>
      </c>
      <c r="N116" s="182" t="str">
        <f>IF('[1]Annual Parameters Source'!N116="","-",'[1]Annual Parameters Source'!N116)</f>
        <v>-</v>
      </c>
      <c r="O116" s="183">
        <f>IF('[1]Annual Parameters Source'!O116="","-",'[1]Annual Parameters Source'!O116)</f>
        <v>2.1653405464431286</v>
      </c>
      <c r="P116" s="184">
        <f>IF('[1]Annual Parameters Source'!P116="","-",'[1]Annual Parameters Source'!P116)</f>
        <v>503.57044159733329</v>
      </c>
      <c r="Q116" s="182" t="str">
        <f>IF('[1]Annual Parameters Source'!Q116="","-",'[1]Annual Parameters Source'!Q116)</f>
        <v>-</v>
      </c>
      <c r="R116" s="183">
        <f>IF('[1]Annual Parameters Source'!R116="","-",'[1]Annual Parameters Source'!R116)</f>
        <v>2.1653405464431286</v>
      </c>
      <c r="S116" s="184">
        <f>IF('[1]Annual Parameters Source'!S116="","-",'[1]Annual Parameters Source'!S116)</f>
        <v>433.7658083032353</v>
      </c>
      <c r="T116" s="183">
        <f>IF('[1]Annual Parameters Source'!T116="","-",'[1]Annual Parameters Source'!T116)</f>
        <v>2.1653405464431286</v>
      </c>
      <c r="U116" s="183">
        <f>IF('[1]Annual Parameters Source'!U116="","-",'[1]Annual Parameters Source'!U116)</f>
        <v>2.1653405464431286</v>
      </c>
      <c r="V116" s="185">
        <f>IF('[1]Annual Parameters Source'!V116="","-",'[1]Annual Parameters Source'!V116)</f>
        <v>391.98889597098361</v>
      </c>
      <c r="W116" s="186">
        <f>IF('[1]Annual Parameters Source'!W116="","-",'[1]Annual Parameters Source'!W116)</f>
        <v>391.98889597098361</v>
      </c>
    </row>
    <row r="117" spans="1:23" ht="13.5" customHeight="1" x14ac:dyDescent="0.25">
      <c r="A117" s="180"/>
      <c r="B117" s="85">
        <f t="shared" si="0"/>
        <v>2078</v>
      </c>
      <c r="C117" s="138"/>
      <c r="D117" s="181">
        <f>IF('[1]Annual Parameters Source'!D117="","-",'[1]Annual Parameters Source'!D117/VLOOKUP($B$14,'[1]Annual Parameters Source'!$B$29:$D$139,3,1)*100)</f>
        <v>437.70575925539646</v>
      </c>
      <c r="E117" s="182" t="str">
        <f>IF('[1]Annual Parameters Source'!E117="","-",'[1]Annual Parameters Source'!E117)</f>
        <v>-</v>
      </c>
      <c r="F117" s="183">
        <f>IF('[1]Annual Parameters Source'!F117="","-",'[1]Annual Parameters Source'!F117)</f>
        <v>2.5</v>
      </c>
      <c r="G117" s="184">
        <f>IF('[1]Annual Parameters Source'!G117="","-",'[1]Annual Parameters Source'!G117)</f>
        <v>757.83418284575532</v>
      </c>
      <c r="H117" s="182" t="str">
        <f>IF('[1]Annual Parameters Source'!H117="","-",'[1]Annual Parameters Source'!H117)</f>
        <v>-</v>
      </c>
      <c r="I117" s="183">
        <f>IF('[1]Annual Parameters Source'!I117="","-",'[1]Annual Parameters Source'!I117)</f>
        <v>0.32756652282164289</v>
      </c>
      <c r="J117" s="184">
        <f>IF('[1]Annual Parameters Source'!J117="","-",'[1]Annual Parameters Source'!J117)</f>
        <v>147.30258678515477</v>
      </c>
      <c r="K117" s="182" t="str">
        <f>IF('[1]Annual Parameters Source'!K117="","-",'[1]Annual Parameters Source'!K117)</f>
        <v>-</v>
      </c>
      <c r="L117" s="183">
        <f>IF('[1]Annual Parameters Source'!L117="","-",'[1]Annual Parameters Source'!L117)</f>
        <v>0.32756652282164289</v>
      </c>
      <c r="M117" s="184">
        <f>IF('[1]Annual Parameters Source'!M117="","-",'[1]Annual Parameters Source'!M117)</f>
        <v>153.94101934991187</v>
      </c>
      <c r="N117" s="182" t="str">
        <f>IF('[1]Annual Parameters Source'!N117="","-",'[1]Annual Parameters Source'!N117)</f>
        <v>-</v>
      </c>
      <c r="O117" s="183">
        <f>IF('[1]Annual Parameters Source'!O117="","-",'[1]Annual Parameters Source'!O117)</f>
        <v>2.1653405464431286</v>
      </c>
      <c r="P117" s="184">
        <f>IF('[1]Annual Parameters Source'!P117="","-",'[1]Annual Parameters Source'!P117)</f>
        <v>514.47445654914304</v>
      </c>
      <c r="Q117" s="182" t="str">
        <f>IF('[1]Annual Parameters Source'!Q117="","-",'[1]Annual Parameters Source'!Q117)</f>
        <v>-</v>
      </c>
      <c r="R117" s="183">
        <f>IF('[1]Annual Parameters Source'!R117="","-",'[1]Annual Parameters Source'!R117)</f>
        <v>2.1653405464431286</v>
      </c>
      <c r="S117" s="184">
        <f>IF('[1]Annual Parameters Source'!S117="","-",'[1]Annual Parameters Source'!S117)</f>
        <v>443.15831522703206</v>
      </c>
      <c r="T117" s="183">
        <f>IF('[1]Annual Parameters Source'!T117="","-",'[1]Annual Parameters Source'!T117)</f>
        <v>2.1653405464431286</v>
      </c>
      <c r="U117" s="183">
        <f>IF('[1]Annual Parameters Source'!U117="","-",'[1]Annual Parameters Source'!U117)</f>
        <v>2.1653405464431286</v>
      </c>
      <c r="V117" s="185">
        <f>IF('[1]Annual Parameters Source'!V117="","-",'[1]Annual Parameters Source'!V117)</f>
        <v>400.47679047299806</v>
      </c>
      <c r="W117" s="186">
        <f>IF('[1]Annual Parameters Source'!W117="","-",'[1]Annual Parameters Source'!W117)</f>
        <v>400.47679047299806</v>
      </c>
    </row>
    <row r="118" spans="1:23" ht="13.5" customHeight="1" x14ac:dyDescent="0.25">
      <c r="A118" s="180"/>
      <c r="B118" s="85">
        <f t="shared" si="0"/>
        <v>2079</v>
      </c>
      <c r="C118" s="138"/>
      <c r="D118" s="181">
        <f>IF('[1]Annual Parameters Source'!D118="","-",'[1]Annual Parameters Source'!D118/VLOOKUP($B$14,'[1]Annual Parameters Source'!$B$29:$D$139,3,1)*100)</f>
        <v>447.77299171827048</v>
      </c>
      <c r="E118" s="182" t="str">
        <f>IF('[1]Annual Parameters Source'!E118="","-",'[1]Annual Parameters Source'!E118)</f>
        <v>-</v>
      </c>
      <c r="F118" s="183">
        <f>IF('[1]Annual Parameters Source'!F118="","-",'[1]Annual Parameters Source'!F118)</f>
        <v>2.5</v>
      </c>
      <c r="G118" s="184">
        <f>IF('[1]Annual Parameters Source'!G118="","-",'[1]Annual Parameters Source'!G118)</f>
        <v>776.78003741689918</v>
      </c>
      <c r="H118" s="182" t="str">
        <f>IF('[1]Annual Parameters Source'!H118="","-",'[1]Annual Parameters Source'!H118)</f>
        <v>-</v>
      </c>
      <c r="I118" s="183">
        <f>IF('[1]Annual Parameters Source'!I118="","-",'[1]Annual Parameters Source'!I118)</f>
        <v>0.32756652282164289</v>
      </c>
      <c r="J118" s="184">
        <f>IF('[1]Annual Parameters Source'!J118="","-",'[1]Annual Parameters Source'!J118)</f>
        <v>147.78510074671323</v>
      </c>
      <c r="K118" s="182" t="str">
        <f>IF('[1]Annual Parameters Source'!K118="","-",'[1]Annual Parameters Source'!K118)</f>
        <v>-</v>
      </c>
      <c r="L118" s="183">
        <f>IF('[1]Annual Parameters Source'!L118="","-",'[1]Annual Parameters Source'!L118)</f>
        <v>0.32756652282164289</v>
      </c>
      <c r="M118" s="184">
        <f>IF('[1]Annual Parameters Source'!M118="","-",'[1]Annual Parameters Source'!M118)</f>
        <v>154.44527859419256</v>
      </c>
      <c r="N118" s="182" t="str">
        <f>IF('[1]Annual Parameters Source'!N118="","-",'[1]Annual Parameters Source'!N118)</f>
        <v>-</v>
      </c>
      <c r="O118" s="183">
        <f>IF('[1]Annual Parameters Source'!O118="","-",'[1]Annual Parameters Source'!O118)</f>
        <v>2.1653405464431286</v>
      </c>
      <c r="P118" s="184">
        <f>IF('[1]Annual Parameters Source'!P118="","-",'[1]Annual Parameters Source'!P118)</f>
        <v>525.61458055789456</v>
      </c>
      <c r="Q118" s="182" t="str">
        <f>IF('[1]Annual Parameters Source'!Q118="","-",'[1]Annual Parameters Source'!Q118)</f>
        <v>-</v>
      </c>
      <c r="R118" s="183">
        <f>IF('[1]Annual Parameters Source'!R118="","-",'[1]Annual Parameters Source'!R118)</f>
        <v>2.1653405464431286</v>
      </c>
      <c r="S118" s="184">
        <f>IF('[1]Annual Parameters Source'!S118="","-",'[1]Annual Parameters Source'!S118)</f>
        <v>452.75420191157724</v>
      </c>
      <c r="T118" s="183">
        <f>IF('[1]Annual Parameters Source'!T118="","-",'[1]Annual Parameters Source'!T118)</f>
        <v>2.1653405464431286</v>
      </c>
      <c r="U118" s="183">
        <f>IF('[1]Annual Parameters Source'!U118="","-",'[1]Annual Parameters Source'!U118)</f>
        <v>2.1653405464431286</v>
      </c>
      <c r="V118" s="185">
        <f>IF('[1]Annual Parameters Source'!V118="","-",'[1]Annual Parameters Source'!V118)</f>
        <v>409.14847679620397</v>
      </c>
      <c r="W118" s="186">
        <f>IF('[1]Annual Parameters Source'!W118="","-",'[1]Annual Parameters Source'!W118)</f>
        <v>409.14847679620397</v>
      </c>
    </row>
    <row r="119" spans="1:23" ht="13.5" customHeight="1" x14ac:dyDescent="0.25">
      <c r="A119" s="180"/>
      <c r="B119" s="85">
        <f t="shared" si="0"/>
        <v>2080</v>
      </c>
      <c r="C119" s="138"/>
      <c r="D119" s="181">
        <f>IF('[1]Annual Parameters Source'!D119="","-",'[1]Annual Parameters Source'!D119/VLOOKUP($B$14,'[1]Annual Parameters Source'!$B$29:$D$139,3,1)*100)</f>
        <v>458.0717705277907</v>
      </c>
      <c r="E119" s="182" t="str">
        <f>IF('[1]Annual Parameters Source'!E119="","-",'[1]Annual Parameters Source'!E119)</f>
        <v>-</v>
      </c>
      <c r="F119" s="183">
        <f>IF('[1]Annual Parameters Source'!F119="","-",'[1]Annual Parameters Source'!F119)</f>
        <v>2.5</v>
      </c>
      <c r="G119" s="184">
        <f>IF('[1]Annual Parameters Source'!G119="","-",'[1]Annual Parameters Source'!G119)</f>
        <v>796.19953835232172</v>
      </c>
      <c r="H119" s="182" t="str">
        <f>IF('[1]Annual Parameters Source'!H119="","-",'[1]Annual Parameters Source'!H119)</f>
        <v>-</v>
      </c>
      <c r="I119" s="183">
        <f>IF('[1]Annual Parameters Source'!I119="","-",'[1]Annual Parameters Source'!I119)</f>
        <v>0.32756652282164289</v>
      </c>
      <c r="J119" s="184">
        <f>IF('[1]Annual Parameters Source'!J119="","-",'[1]Annual Parameters Source'!J119)</f>
        <v>148.26919526247769</v>
      </c>
      <c r="K119" s="182" t="str">
        <f>IF('[1]Annual Parameters Source'!K119="","-",'[1]Annual Parameters Source'!K119)</f>
        <v>-</v>
      </c>
      <c r="L119" s="183">
        <f>IF('[1]Annual Parameters Source'!L119="","-",'[1]Annual Parameters Source'!L119)</f>
        <v>0.32756652282164289</v>
      </c>
      <c r="M119" s="184">
        <f>IF('[1]Annual Parameters Source'!M119="","-",'[1]Annual Parameters Source'!M119)</f>
        <v>154.95118962294575</v>
      </c>
      <c r="N119" s="182" t="str">
        <f>IF('[1]Annual Parameters Source'!N119="","-",'[1]Annual Parameters Source'!N119)</f>
        <v>-</v>
      </c>
      <c r="O119" s="183">
        <f>IF('[1]Annual Parameters Source'!O119="","-",'[1]Annual Parameters Source'!O119)</f>
        <v>2.1653405464431286</v>
      </c>
      <c r="P119" s="184">
        <f>IF('[1]Annual Parameters Source'!P119="","-",'[1]Annual Parameters Source'!P119)</f>
        <v>536.99592618873169</v>
      </c>
      <c r="Q119" s="182" t="str">
        <f>IF('[1]Annual Parameters Source'!Q119="","-",'[1]Annual Parameters Source'!Q119)</f>
        <v>-</v>
      </c>
      <c r="R119" s="183">
        <f>IF('[1]Annual Parameters Source'!R119="","-",'[1]Annual Parameters Source'!R119)</f>
        <v>2.1653405464431286</v>
      </c>
      <c r="S119" s="184">
        <f>IF('[1]Annual Parameters Source'!S119="","-",'[1]Annual Parameters Source'!S119)</f>
        <v>462.55787222129368</v>
      </c>
      <c r="T119" s="183">
        <f>IF('[1]Annual Parameters Source'!T119="","-",'[1]Annual Parameters Source'!T119)</f>
        <v>2.1653405464431286</v>
      </c>
      <c r="U119" s="183">
        <f>IF('[1]Annual Parameters Source'!U119="","-",'[1]Annual Parameters Source'!U119)</f>
        <v>2.1653405464431286</v>
      </c>
      <c r="V119" s="185">
        <f>IF('[1]Annual Parameters Source'!V119="","-",'[1]Annual Parameters Source'!V119)</f>
        <v>418.00793465942661</v>
      </c>
      <c r="W119" s="186">
        <f>IF('[1]Annual Parameters Source'!W119="","-",'[1]Annual Parameters Source'!W119)</f>
        <v>418.00793465942661</v>
      </c>
    </row>
    <row r="120" spans="1:23" ht="13.5" customHeight="1" x14ac:dyDescent="0.25">
      <c r="A120" s="180"/>
      <c r="B120" s="85">
        <f t="shared" si="0"/>
        <v>2081</v>
      </c>
      <c r="C120" s="138"/>
      <c r="D120" s="181">
        <f>IF('[1]Annual Parameters Source'!D120="","-",'[1]Annual Parameters Source'!D120/VLOOKUP($B$14,'[1]Annual Parameters Source'!$B$29:$D$139,3,1)*100)</f>
        <v>468.60742124992987</v>
      </c>
      <c r="E120" s="182" t="str">
        <f>IF('[1]Annual Parameters Source'!E120="","-",'[1]Annual Parameters Source'!E120)</f>
        <v>-</v>
      </c>
      <c r="F120" s="183">
        <f>IF('[1]Annual Parameters Source'!F120="","-",'[1]Annual Parameters Source'!F120)</f>
        <v>2.5</v>
      </c>
      <c r="G120" s="184">
        <f>IF('[1]Annual Parameters Source'!G120="","-",'[1]Annual Parameters Source'!G120)</f>
        <v>816.10452681112974</v>
      </c>
      <c r="H120" s="182" t="str">
        <f>IF('[1]Annual Parameters Source'!H120="","-",'[1]Annual Parameters Source'!H120)</f>
        <v>-</v>
      </c>
      <c r="I120" s="183">
        <f>IF('[1]Annual Parameters Source'!I120="","-",'[1]Annual Parameters Source'!I120)</f>
        <v>0.32756652282164289</v>
      </c>
      <c r="J120" s="184">
        <f>IF('[1]Annual Parameters Source'!J120="","-",'[1]Annual Parameters Source'!J120)</f>
        <v>148.75487550981464</v>
      </c>
      <c r="K120" s="182" t="str">
        <f>IF('[1]Annual Parameters Source'!K120="","-",'[1]Annual Parameters Source'!K120)</f>
        <v>-</v>
      </c>
      <c r="L120" s="183">
        <f>IF('[1]Annual Parameters Source'!L120="","-",'[1]Annual Parameters Source'!L120)</f>
        <v>0.32756652282164289</v>
      </c>
      <c r="M120" s="184">
        <f>IF('[1]Annual Parameters Source'!M120="","-",'[1]Annual Parameters Source'!M120)</f>
        <v>155.45875784686439</v>
      </c>
      <c r="N120" s="182" t="str">
        <f>IF('[1]Annual Parameters Source'!N120="","-",'[1]Annual Parameters Source'!N120)</f>
        <v>-</v>
      </c>
      <c r="O120" s="183">
        <f>IF('[1]Annual Parameters Source'!O120="","-",'[1]Annual Parameters Source'!O120)</f>
        <v>2.1653405464431286</v>
      </c>
      <c r="P120" s="184">
        <f>IF('[1]Annual Parameters Source'!P120="","-",'[1]Annual Parameters Source'!P120)</f>
        <v>548.62371671124413</v>
      </c>
      <c r="Q120" s="182" t="str">
        <f>IF('[1]Annual Parameters Source'!Q120="","-",'[1]Annual Parameters Source'!Q120)</f>
        <v>-</v>
      </c>
      <c r="R120" s="183">
        <f>IF('[1]Annual Parameters Source'!R120="","-",'[1]Annual Parameters Source'!R120)</f>
        <v>2.1653405464431286</v>
      </c>
      <c r="S120" s="184">
        <f>IF('[1]Annual Parameters Source'!S120="","-",'[1]Annual Parameters Source'!S120)</f>
        <v>472.573825379266</v>
      </c>
      <c r="T120" s="183">
        <f>IF('[1]Annual Parameters Source'!T120="","-",'[1]Annual Parameters Source'!T120)</f>
        <v>2.1653405464431286</v>
      </c>
      <c r="U120" s="183">
        <f>IF('[1]Annual Parameters Source'!U120="","-",'[1]Annual Parameters Source'!U120)</f>
        <v>2.1653405464431286</v>
      </c>
      <c r="V120" s="185">
        <f>IF('[1]Annual Parameters Source'!V120="","-",'[1]Annual Parameters Source'!V120)</f>
        <v>427.05922995595665</v>
      </c>
      <c r="W120" s="186">
        <f>IF('[1]Annual Parameters Source'!W120="","-",'[1]Annual Parameters Source'!W120)</f>
        <v>427.05922995595665</v>
      </c>
    </row>
    <row r="121" spans="1:23" ht="13.5" customHeight="1" x14ac:dyDescent="0.25">
      <c r="A121" s="180"/>
      <c r="B121" s="85">
        <f t="shared" si="0"/>
        <v>2082</v>
      </c>
      <c r="C121" s="138"/>
      <c r="D121" s="181">
        <f>IF('[1]Annual Parameters Source'!D121="","-",'[1]Annual Parameters Source'!D121/VLOOKUP($B$14,'[1]Annual Parameters Source'!$B$29:$D$139,3,1)*100)</f>
        <v>479.3853919386782</v>
      </c>
      <c r="E121" s="182" t="str">
        <f>IF('[1]Annual Parameters Source'!E121="","-",'[1]Annual Parameters Source'!E121)</f>
        <v>-</v>
      </c>
      <c r="F121" s="183">
        <f>IF('[1]Annual Parameters Source'!F121="","-",'[1]Annual Parameters Source'!F121)</f>
        <v>2.5</v>
      </c>
      <c r="G121" s="184">
        <f>IF('[1]Annual Parameters Source'!G121="","-",'[1]Annual Parameters Source'!G121)</f>
        <v>836.50713998140793</v>
      </c>
      <c r="H121" s="182" t="str">
        <f>IF('[1]Annual Parameters Source'!H121="","-",'[1]Annual Parameters Source'!H121)</f>
        <v>-</v>
      </c>
      <c r="I121" s="183">
        <f>IF('[1]Annual Parameters Source'!I121="","-",'[1]Annual Parameters Source'!I121)</f>
        <v>0.31909344783966898</v>
      </c>
      <c r="J121" s="184">
        <f>IF('[1]Annual Parameters Source'!J121="","-",'[1]Annual Parameters Source'!J121)</f>
        <v>149.22954257090851</v>
      </c>
      <c r="K121" s="182" t="str">
        <f>IF('[1]Annual Parameters Source'!K121="","-",'[1]Annual Parameters Source'!K121)</f>
        <v>-</v>
      </c>
      <c r="L121" s="183">
        <f>IF('[1]Annual Parameters Source'!L121="","-",'[1]Annual Parameters Source'!L121)</f>
        <v>0.31909344783966898</v>
      </c>
      <c r="M121" s="184">
        <f>IF('[1]Annual Parameters Source'!M121="","-",'[1]Annual Parameters Source'!M121)</f>
        <v>155.95481655724666</v>
      </c>
      <c r="N121" s="182" t="str">
        <f>IF('[1]Annual Parameters Source'!N121="","-",'[1]Annual Parameters Source'!N121)</f>
        <v>-</v>
      </c>
      <c r="O121" s="183">
        <f>IF('[1]Annual Parameters Source'!O121="","-",'[1]Annual Parameters Source'!O121)</f>
        <v>2.1739695577435381</v>
      </c>
      <c r="P121" s="184">
        <f>IF('[1]Annual Parameters Source'!P121="","-",'[1]Annual Parameters Source'!P121)</f>
        <v>560.55062929910764</v>
      </c>
      <c r="Q121" s="182" t="str">
        <f>IF('[1]Annual Parameters Source'!Q121="","-",'[1]Annual Parameters Source'!Q121)</f>
        <v>-</v>
      </c>
      <c r="R121" s="183">
        <f>IF('[1]Annual Parameters Source'!R121="","-",'[1]Annual Parameters Source'!R121)</f>
        <v>2.1739695577435381</v>
      </c>
      <c r="S121" s="184">
        <f>IF('[1]Annual Parameters Source'!S121="","-",'[1]Annual Parameters Source'!S121)</f>
        <v>482.84743648087533</v>
      </c>
      <c r="T121" s="183">
        <f>IF('[1]Annual Parameters Source'!T121="","-",'[1]Annual Parameters Source'!T121)</f>
        <v>2.1739695577435381</v>
      </c>
      <c r="U121" s="183">
        <f>IF('[1]Annual Parameters Source'!U121="","-",'[1]Annual Parameters Source'!U121)</f>
        <v>2.1739695577435381</v>
      </c>
      <c r="V121" s="185">
        <f>IF('[1]Annual Parameters Source'!V121="","-",'[1]Annual Parameters Source'!V121)</f>
        <v>436.3433676087331</v>
      </c>
      <c r="W121" s="186">
        <f>IF('[1]Annual Parameters Source'!W121="","-",'[1]Annual Parameters Source'!W121)</f>
        <v>436.3433676087331</v>
      </c>
    </row>
    <row r="122" spans="1:23" ht="13.5" customHeight="1" x14ac:dyDescent="0.25">
      <c r="A122" s="180"/>
      <c r="B122" s="85">
        <f t="shared" si="0"/>
        <v>2083</v>
      </c>
      <c r="C122" s="138"/>
      <c r="D122" s="181">
        <f>IF('[1]Annual Parameters Source'!D122="","-",'[1]Annual Parameters Source'!D122/VLOOKUP($B$14,'[1]Annual Parameters Source'!$B$29:$D$139,3,1)*100)</f>
        <v>490.41125595326776</v>
      </c>
      <c r="E122" s="182" t="str">
        <f>IF('[1]Annual Parameters Source'!E122="","-",'[1]Annual Parameters Source'!E122)</f>
        <v>-</v>
      </c>
      <c r="F122" s="183">
        <f>IF('[1]Annual Parameters Source'!F122="","-",'[1]Annual Parameters Source'!F122)</f>
        <v>2.5</v>
      </c>
      <c r="G122" s="184">
        <f>IF('[1]Annual Parameters Source'!G122="","-",'[1]Annual Parameters Source'!G122)</f>
        <v>857.41981848094304</v>
      </c>
      <c r="H122" s="182" t="str">
        <f>IF('[1]Annual Parameters Source'!H122="","-",'[1]Annual Parameters Source'!H122)</f>
        <v>-</v>
      </c>
      <c r="I122" s="183">
        <f>IF('[1]Annual Parameters Source'!I122="","-",'[1]Annual Parameters Source'!I122)</f>
        <v>0.31909344783966898</v>
      </c>
      <c r="J122" s="184">
        <f>IF('[1]Annual Parameters Source'!J122="","-",'[1]Annual Parameters Source'!J122)</f>
        <v>149.70572426349338</v>
      </c>
      <c r="K122" s="182" t="str">
        <f>IF('[1]Annual Parameters Source'!K122="","-",'[1]Annual Parameters Source'!K122)</f>
        <v>-</v>
      </c>
      <c r="L122" s="183">
        <f>IF('[1]Annual Parameters Source'!L122="","-",'[1]Annual Parameters Source'!L122)</f>
        <v>0.31909344783966898</v>
      </c>
      <c r="M122" s="184">
        <f>IF('[1]Annual Parameters Source'!M122="","-",'[1]Annual Parameters Source'!M122)</f>
        <v>156.45245815847119</v>
      </c>
      <c r="N122" s="182" t="str">
        <f>IF('[1]Annual Parameters Source'!N122="","-",'[1]Annual Parameters Source'!N122)</f>
        <v>-</v>
      </c>
      <c r="O122" s="183">
        <f>IF('[1]Annual Parameters Source'!O122="","-",'[1]Annual Parameters Source'!O122)</f>
        <v>2.1739695577435381</v>
      </c>
      <c r="P122" s="184">
        <f>IF('[1]Annual Parameters Source'!P122="","-",'[1]Annual Parameters Source'!P122)</f>
        <v>572.73682933581006</v>
      </c>
      <c r="Q122" s="182" t="str">
        <f>IF('[1]Annual Parameters Source'!Q122="","-",'[1]Annual Parameters Source'!Q122)</f>
        <v>-</v>
      </c>
      <c r="R122" s="183">
        <f>IF('[1]Annual Parameters Source'!R122="","-",'[1]Annual Parameters Source'!R122)</f>
        <v>2.1739695577435381</v>
      </c>
      <c r="S122" s="184">
        <f>IF('[1]Annual Parameters Source'!S122="","-",'[1]Annual Parameters Source'!S122)</f>
        <v>493.34439276031458</v>
      </c>
      <c r="T122" s="183">
        <f>IF('[1]Annual Parameters Source'!T122="","-",'[1]Annual Parameters Source'!T122)</f>
        <v>2.1739695577435381</v>
      </c>
      <c r="U122" s="183">
        <f>IF('[1]Annual Parameters Source'!U122="","-",'[1]Annual Parameters Source'!U122)</f>
        <v>2.1739695577435381</v>
      </c>
      <c r="V122" s="185">
        <f>IF('[1]Annual Parameters Source'!V122="","-",'[1]Annual Parameters Source'!V122)</f>
        <v>445.82933958777994</v>
      </c>
      <c r="W122" s="186">
        <f>IF('[1]Annual Parameters Source'!W122="","-",'[1]Annual Parameters Source'!W122)</f>
        <v>445.82933958777994</v>
      </c>
    </row>
    <row r="123" spans="1:23" ht="13.5" customHeight="1" x14ac:dyDescent="0.25">
      <c r="A123" s="180"/>
      <c r="B123" s="85">
        <f t="shared" si="0"/>
        <v>2084</v>
      </c>
      <c r="C123" s="138"/>
      <c r="D123" s="181">
        <f>IF('[1]Annual Parameters Source'!D123="","-",'[1]Annual Parameters Source'!D123/VLOOKUP($B$14,'[1]Annual Parameters Source'!$B$29:$D$139,3,1)*100)</f>
        <v>501.69071484019287</v>
      </c>
      <c r="E123" s="182" t="str">
        <f>IF('[1]Annual Parameters Source'!E123="","-",'[1]Annual Parameters Source'!E123)</f>
        <v>-</v>
      </c>
      <c r="F123" s="183">
        <f>IF('[1]Annual Parameters Source'!F123="","-",'[1]Annual Parameters Source'!F123)</f>
        <v>2.5</v>
      </c>
      <c r="G123" s="184">
        <f>IF('[1]Annual Parameters Source'!G123="","-",'[1]Annual Parameters Source'!G123)</f>
        <v>878.85531394296663</v>
      </c>
      <c r="H123" s="182" t="str">
        <f>IF('[1]Annual Parameters Source'!H123="","-",'[1]Annual Parameters Source'!H123)</f>
        <v>-</v>
      </c>
      <c r="I123" s="183">
        <f>IF('[1]Annual Parameters Source'!I123="","-",'[1]Annual Parameters Source'!I123)</f>
        <v>0.31909344783966898</v>
      </c>
      <c r="J123" s="184">
        <f>IF('[1]Annual Parameters Source'!J123="","-",'[1]Annual Parameters Source'!J123)</f>
        <v>150.18342542065909</v>
      </c>
      <c r="K123" s="182" t="str">
        <f>IF('[1]Annual Parameters Source'!K123="","-",'[1]Annual Parameters Source'!K123)</f>
        <v>-</v>
      </c>
      <c r="L123" s="183">
        <f>IF('[1]Annual Parameters Source'!L123="","-",'[1]Annual Parameters Source'!L123)</f>
        <v>0.31909344783966898</v>
      </c>
      <c r="M123" s="184">
        <f>IF('[1]Annual Parameters Source'!M123="","-",'[1]Annual Parameters Source'!M123)</f>
        <v>156.95168770143897</v>
      </c>
      <c r="N123" s="182" t="str">
        <f>IF('[1]Annual Parameters Source'!N123="","-",'[1]Annual Parameters Source'!N123)</f>
        <v>-</v>
      </c>
      <c r="O123" s="183">
        <f>IF('[1]Annual Parameters Source'!O123="","-",'[1]Annual Parameters Source'!O123)</f>
        <v>2.1739695577435381</v>
      </c>
      <c r="P123" s="184">
        <f>IF('[1]Annual Parameters Source'!P123="","-",'[1]Annual Parameters Source'!P123)</f>
        <v>585.18795365155609</v>
      </c>
      <c r="Q123" s="182" t="str">
        <f>IF('[1]Annual Parameters Source'!Q123="","-",'[1]Annual Parameters Source'!Q123)</f>
        <v>-</v>
      </c>
      <c r="R123" s="183">
        <f>IF('[1]Annual Parameters Source'!R123="","-",'[1]Annual Parameters Source'!R123)</f>
        <v>2.1739695577435381</v>
      </c>
      <c r="S123" s="184">
        <f>IF('[1]Annual Parameters Source'!S123="","-",'[1]Annual Parameters Source'!S123)</f>
        <v>504.0695496737585</v>
      </c>
      <c r="T123" s="183">
        <f>IF('[1]Annual Parameters Source'!T123="","-",'[1]Annual Parameters Source'!T123)</f>
        <v>2.1739695577435381</v>
      </c>
      <c r="U123" s="183">
        <f>IF('[1]Annual Parameters Source'!U123="","-",'[1]Annual Parameters Source'!U123)</f>
        <v>2.1739695577435381</v>
      </c>
      <c r="V123" s="185">
        <f>IF('[1]Annual Parameters Source'!V123="","-",'[1]Annual Parameters Source'!V123)</f>
        <v>455.52153370990732</v>
      </c>
      <c r="W123" s="186">
        <f>IF('[1]Annual Parameters Source'!W123="","-",'[1]Annual Parameters Source'!W123)</f>
        <v>455.52153370990732</v>
      </c>
    </row>
    <row r="124" spans="1:23" ht="13.5" customHeight="1" x14ac:dyDescent="0.25">
      <c r="A124" s="180"/>
      <c r="B124" s="85">
        <f t="shared" si="0"/>
        <v>2085</v>
      </c>
      <c r="C124" s="138"/>
      <c r="D124" s="181">
        <f>IF('[1]Annual Parameters Source'!D124="","-",'[1]Annual Parameters Source'!D124/VLOOKUP($B$14,'[1]Annual Parameters Source'!$B$29:$D$139,3,1)*100)</f>
        <v>513.22960128151726</v>
      </c>
      <c r="E124" s="182" t="str">
        <f>IF('[1]Annual Parameters Source'!E124="","-",'[1]Annual Parameters Source'!E124)</f>
        <v>-</v>
      </c>
      <c r="F124" s="183">
        <f>IF('[1]Annual Parameters Source'!F124="","-",'[1]Annual Parameters Source'!F124)</f>
        <v>2.5</v>
      </c>
      <c r="G124" s="184">
        <f>IF('[1]Annual Parameters Source'!G124="","-",'[1]Annual Parameters Source'!G124)</f>
        <v>900.82669679154071</v>
      </c>
      <c r="H124" s="182" t="str">
        <f>IF('[1]Annual Parameters Source'!H124="","-",'[1]Annual Parameters Source'!H124)</f>
        <v>-</v>
      </c>
      <c r="I124" s="183">
        <f>IF('[1]Annual Parameters Source'!I124="","-",'[1]Annual Parameters Source'!I124)</f>
        <v>0.31909344783966898</v>
      </c>
      <c r="J124" s="184">
        <f>IF('[1]Annual Parameters Source'!J124="","-",'[1]Annual Parameters Source'!J124)</f>
        <v>150.66265089091758</v>
      </c>
      <c r="K124" s="182" t="str">
        <f>IF('[1]Annual Parameters Source'!K124="","-",'[1]Annual Parameters Source'!K124)</f>
        <v>-</v>
      </c>
      <c r="L124" s="183">
        <f>IF('[1]Annual Parameters Source'!L124="","-",'[1]Annual Parameters Source'!L124)</f>
        <v>0.31909344783966898</v>
      </c>
      <c r="M124" s="184">
        <f>IF('[1]Annual Parameters Source'!M124="","-",'[1]Annual Parameters Source'!M124)</f>
        <v>157.45251025316804</v>
      </c>
      <c r="N124" s="182" t="str">
        <f>IF('[1]Annual Parameters Source'!N124="","-",'[1]Annual Parameters Source'!N124)</f>
        <v>-</v>
      </c>
      <c r="O124" s="183">
        <f>IF('[1]Annual Parameters Source'!O124="","-",'[1]Annual Parameters Source'!O124)</f>
        <v>2.1739695577435381</v>
      </c>
      <c r="P124" s="184">
        <f>IF('[1]Annual Parameters Source'!P124="","-",'[1]Annual Parameters Source'!P124)</f>
        <v>597.90976161952324</v>
      </c>
      <c r="Q124" s="182" t="str">
        <f>IF('[1]Annual Parameters Source'!Q124="","-",'[1]Annual Parameters Source'!Q124)</f>
        <v>-</v>
      </c>
      <c r="R124" s="183">
        <f>IF('[1]Annual Parameters Source'!R124="","-",'[1]Annual Parameters Source'!R124)</f>
        <v>2.1739695577435381</v>
      </c>
      <c r="S124" s="184">
        <f>IF('[1]Annual Parameters Source'!S124="","-",'[1]Annual Parameters Source'!S124)</f>
        <v>515.02786823352096</v>
      </c>
      <c r="T124" s="183">
        <f>IF('[1]Annual Parameters Source'!T124="","-",'[1]Annual Parameters Source'!T124)</f>
        <v>2.1739695577435381</v>
      </c>
      <c r="U124" s="183">
        <f>IF('[1]Annual Parameters Source'!U124="","-",'[1]Annual Parameters Source'!U124)</f>
        <v>2.1739695577435381</v>
      </c>
      <c r="V124" s="185">
        <f>IF('[1]Annual Parameters Source'!V124="","-",'[1]Annual Parameters Source'!V124)</f>
        <v>465.42443318172718</v>
      </c>
      <c r="W124" s="186">
        <f>IF('[1]Annual Parameters Source'!W124="","-",'[1]Annual Parameters Source'!W124)</f>
        <v>465.42443318172718</v>
      </c>
    </row>
    <row r="125" spans="1:23" ht="13.5" customHeight="1" x14ac:dyDescent="0.25">
      <c r="A125" s="180"/>
      <c r="B125" s="85">
        <f t="shared" si="0"/>
        <v>2086</v>
      </c>
      <c r="C125" s="138"/>
      <c r="D125" s="181">
        <f>IF('[1]Annual Parameters Source'!D125="","-",'[1]Annual Parameters Source'!D125/VLOOKUP($B$14,'[1]Annual Parameters Source'!$B$29:$D$139,3,1)*100)</f>
        <v>525.03388211099218</v>
      </c>
      <c r="E125" s="182" t="str">
        <f>IF('[1]Annual Parameters Source'!E125="","-",'[1]Annual Parameters Source'!E125)</f>
        <v>-</v>
      </c>
      <c r="F125" s="183">
        <f>IF('[1]Annual Parameters Source'!F125="","-",'[1]Annual Parameters Source'!F125)</f>
        <v>2.5</v>
      </c>
      <c r="G125" s="184">
        <f>IF('[1]Annual Parameters Source'!G125="","-",'[1]Annual Parameters Source'!G125)</f>
        <v>923.34736421132925</v>
      </c>
      <c r="H125" s="182" t="str">
        <f>IF('[1]Annual Parameters Source'!H125="","-",'[1]Annual Parameters Source'!H125)</f>
        <v>-</v>
      </c>
      <c r="I125" s="183">
        <f>IF('[1]Annual Parameters Source'!I125="","-",'[1]Annual Parameters Source'!I125)</f>
        <v>0.31909344783966898</v>
      </c>
      <c r="J125" s="184">
        <f>IF('[1]Annual Parameters Source'!J125="","-",'[1]Annual Parameters Source'!J125)</f>
        <v>151.14340553825204</v>
      </c>
      <c r="K125" s="182" t="str">
        <f>IF('[1]Annual Parameters Source'!K125="","-",'[1]Annual Parameters Source'!K125)</f>
        <v>-</v>
      </c>
      <c r="L125" s="183">
        <f>IF('[1]Annual Parameters Source'!L125="","-",'[1]Annual Parameters Source'!L125)</f>
        <v>0.31909344783966898</v>
      </c>
      <c r="M125" s="184">
        <f>IF('[1]Annual Parameters Source'!M125="","-",'[1]Annual Parameters Source'!M125)</f>
        <v>157.95493089684498</v>
      </c>
      <c r="N125" s="182" t="str">
        <f>IF('[1]Annual Parameters Source'!N125="","-",'[1]Annual Parameters Source'!N125)</f>
        <v>-</v>
      </c>
      <c r="O125" s="183">
        <f>IF('[1]Annual Parameters Source'!O125="","-",'[1]Annual Parameters Source'!O125)</f>
        <v>2.1739695577435381</v>
      </c>
      <c r="P125" s="184">
        <f>IF('[1]Annual Parameters Source'!P125="","-",'[1]Annual Parameters Source'!P125)</f>
        <v>610.90813781990857</v>
      </c>
      <c r="Q125" s="182" t="str">
        <f>IF('[1]Annual Parameters Source'!Q125="","-",'[1]Annual Parameters Source'!Q125)</f>
        <v>-</v>
      </c>
      <c r="R125" s="183">
        <f>IF('[1]Annual Parameters Source'!R125="","-",'[1]Annual Parameters Source'!R125)</f>
        <v>2.1739695577435381</v>
      </c>
      <c r="S125" s="184">
        <f>IF('[1]Annual Parameters Source'!S125="","-",'[1]Annual Parameters Source'!S125)</f>
        <v>526.22441730281321</v>
      </c>
      <c r="T125" s="183">
        <f>IF('[1]Annual Parameters Source'!T125="","-",'[1]Annual Parameters Source'!T125)</f>
        <v>2.1739695577435381</v>
      </c>
      <c r="U125" s="183">
        <f>IF('[1]Annual Parameters Source'!U125="","-",'[1]Annual Parameters Source'!U125)</f>
        <v>2.1739695577435381</v>
      </c>
      <c r="V125" s="185">
        <f>IF('[1]Annual Parameters Source'!V125="","-",'[1]Annual Parameters Source'!V125)</f>
        <v>475.54261867339835</v>
      </c>
      <c r="W125" s="186">
        <f>IF('[1]Annual Parameters Source'!W125="","-",'[1]Annual Parameters Source'!W125)</f>
        <v>475.54261867339835</v>
      </c>
    </row>
    <row r="126" spans="1:23" ht="13.5" customHeight="1" x14ac:dyDescent="0.25">
      <c r="A126" s="180"/>
      <c r="B126" s="85">
        <f t="shared" si="0"/>
        <v>2087</v>
      </c>
      <c r="C126" s="138"/>
      <c r="D126" s="181">
        <f>IF('[1]Annual Parameters Source'!D126="","-",'[1]Annual Parameters Source'!D126/VLOOKUP($B$14,'[1]Annual Parameters Source'!$B$29:$D$139,3,1)*100)</f>
        <v>537.10966139954496</v>
      </c>
      <c r="E126" s="182" t="str">
        <f>IF('[1]Annual Parameters Source'!E126="","-",'[1]Annual Parameters Source'!E126)</f>
        <v>-</v>
      </c>
      <c r="F126" s="183">
        <f>IF('[1]Annual Parameters Source'!F126="","-",'[1]Annual Parameters Source'!F126)</f>
        <v>2.5</v>
      </c>
      <c r="G126" s="184">
        <f>IF('[1]Annual Parameters Source'!G126="","-",'[1]Annual Parameters Source'!G126)</f>
        <v>946.43104831661242</v>
      </c>
      <c r="H126" s="182" t="str">
        <f>IF('[1]Annual Parameters Source'!H126="","-",'[1]Annual Parameters Source'!H126)</f>
        <v>-</v>
      </c>
      <c r="I126" s="183">
        <f>IF('[1]Annual Parameters Source'!I126="","-",'[1]Annual Parameters Source'!I126)</f>
        <v>0.31287579773595642</v>
      </c>
      <c r="J126" s="184">
        <f>IF('[1]Annual Parameters Source'!J126="","-",'[1]Annual Parameters Source'!J126)</f>
        <v>151.61629667405515</v>
      </c>
      <c r="K126" s="182" t="str">
        <f>IF('[1]Annual Parameters Source'!K126="","-",'[1]Annual Parameters Source'!K126)</f>
        <v>-</v>
      </c>
      <c r="L126" s="183">
        <f>IF('[1]Annual Parameters Source'!L126="","-",'[1]Annual Parameters Source'!L126)</f>
        <v>0.31287579773595642</v>
      </c>
      <c r="M126" s="184">
        <f>IF('[1]Annual Parameters Source'!M126="","-",'[1]Annual Parameters Source'!M126)</f>
        <v>158.44913364695176</v>
      </c>
      <c r="N126" s="182" t="str">
        <f>IF('[1]Annual Parameters Source'!N126="","-",'[1]Annual Parameters Source'!N126)</f>
        <v>-</v>
      </c>
      <c r="O126" s="183">
        <f>IF('[1]Annual Parameters Source'!O126="","-",'[1]Annual Parameters Source'!O126)</f>
        <v>2.1803025632262996</v>
      </c>
      <c r="P126" s="184">
        <f>IF('[1]Annual Parameters Source'!P126="","-",'[1]Annual Parameters Source'!P126)</f>
        <v>624.22778360775408</v>
      </c>
      <c r="Q126" s="182" t="str">
        <f>IF('[1]Annual Parameters Source'!Q126="","-",'[1]Annual Parameters Source'!Q126)</f>
        <v>-</v>
      </c>
      <c r="R126" s="183">
        <f>IF('[1]Annual Parameters Source'!R126="","-",'[1]Annual Parameters Source'!R126)</f>
        <v>2.1803025632262996</v>
      </c>
      <c r="S126" s="184">
        <f>IF('[1]Annual Parameters Source'!S126="","-",'[1]Annual Parameters Source'!S126)</f>
        <v>537.69770176158909</v>
      </c>
      <c r="T126" s="183">
        <f>IF('[1]Annual Parameters Source'!T126="","-",'[1]Annual Parameters Source'!T126)</f>
        <v>2.1803025632262996</v>
      </c>
      <c r="U126" s="183">
        <f>IF('[1]Annual Parameters Source'!U126="","-",'[1]Annual Parameters Source'!U126)</f>
        <v>2.1803025632262996</v>
      </c>
      <c r="V126" s="185">
        <f>IF('[1]Annual Parameters Source'!V126="","-",'[1]Annual Parameters Source'!V126)</f>
        <v>485.91088657756791</v>
      </c>
      <c r="W126" s="186">
        <f>IF('[1]Annual Parameters Source'!W126="","-",'[1]Annual Parameters Source'!W126)</f>
        <v>485.91088657756791</v>
      </c>
    </row>
    <row r="127" spans="1:23" ht="13.5" customHeight="1" x14ac:dyDescent="0.25">
      <c r="A127" s="180"/>
      <c r="B127" s="85">
        <f t="shared" si="0"/>
        <v>2088</v>
      </c>
      <c r="C127" s="138"/>
      <c r="D127" s="181">
        <f>IF('[1]Annual Parameters Source'!D127="","-",'[1]Annual Parameters Source'!D127/VLOOKUP($B$14,'[1]Annual Parameters Source'!$B$29:$D$139,3,1)*100)</f>
        <v>549.46318361173439</v>
      </c>
      <c r="E127" s="182" t="str">
        <f>IF('[1]Annual Parameters Source'!E127="","-",'[1]Annual Parameters Source'!E127)</f>
        <v>-</v>
      </c>
      <c r="F127" s="183">
        <f>IF('[1]Annual Parameters Source'!F127="","-",'[1]Annual Parameters Source'!F127)</f>
        <v>2.5</v>
      </c>
      <c r="G127" s="184">
        <f>IF('[1]Annual Parameters Source'!G127="","-",'[1]Annual Parameters Source'!G127)</f>
        <v>970.09182452452774</v>
      </c>
      <c r="H127" s="182" t="str">
        <f>IF('[1]Annual Parameters Source'!H127="","-",'[1]Annual Parameters Source'!H127)</f>
        <v>-</v>
      </c>
      <c r="I127" s="183">
        <f>IF('[1]Annual Parameters Source'!I127="","-",'[1]Annual Parameters Source'!I127)</f>
        <v>0.30920442667492498</v>
      </c>
      <c r="J127" s="184">
        <f>IF('[1]Annual Parameters Source'!J127="","-",'[1]Annual Parameters Source'!J127)</f>
        <v>152.08510097493192</v>
      </c>
      <c r="K127" s="182" t="str">
        <f>IF('[1]Annual Parameters Source'!K127="","-",'[1]Annual Parameters Source'!K127)</f>
        <v>-</v>
      </c>
      <c r="L127" s="183">
        <f>IF('[1]Annual Parameters Source'!L127="","-",'[1]Annual Parameters Source'!L127)</f>
        <v>0.30920442667492498</v>
      </c>
      <c r="M127" s="184">
        <f>IF('[1]Annual Parameters Source'!M127="","-",'[1]Annual Parameters Source'!M127)</f>
        <v>158.9390653822162</v>
      </c>
      <c r="N127" s="182" t="str">
        <f>IF('[1]Annual Parameters Source'!N127="","-",'[1]Annual Parameters Source'!N127)</f>
        <v>-</v>
      </c>
      <c r="O127" s="183">
        <f>IF('[1]Annual Parameters Source'!O127="","-",'[1]Annual Parameters Source'!O127)</f>
        <v>2.1840424174897288</v>
      </c>
      <c r="P127" s="184">
        <f>IF('[1]Annual Parameters Source'!P127="","-",'[1]Annual Parameters Source'!P127)</f>
        <v>637.8611831835035</v>
      </c>
      <c r="Q127" s="182" t="str">
        <f>IF('[1]Annual Parameters Source'!Q127="","-",'[1]Annual Parameters Source'!Q127)</f>
        <v>-</v>
      </c>
      <c r="R127" s="183">
        <f>IF('[1]Annual Parameters Source'!R127="","-",'[1]Annual Parameters Source'!R127)</f>
        <v>2.1840424174897288</v>
      </c>
      <c r="S127" s="184">
        <f>IF('[1]Annual Parameters Source'!S127="","-",'[1]Annual Parameters Source'!S127)</f>
        <v>549.44124764592959</v>
      </c>
      <c r="T127" s="183">
        <f>IF('[1]Annual Parameters Source'!T127="","-",'[1]Annual Parameters Source'!T127)</f>
        <v>2.1840424174897288</v>
      </c>
      <c r="U127" s="183">
        <f>IF('[1]Annual Parameters Source'!U127="","-",'[1]Annual Parameters Source'!U127)</f>
        <v>2.1840424174897288</v>
      </c>
      <c r="V127" s="185">
        <f>IF('[1]Annual Parameters Source'!V127="","-",'[1]Annual Parameters Source'!V127)</f>
        <v>496.5233864516224</v>
      </c>
      <c r="W127" s="186">
        <f>IF('[1]Annual Parameters Source'!W127="","-",'[1]Annual Parameters Source'!W127)</f>
        <v>496.5233864516224</v>
      </c>
    </row>
    <row r="128" spans="1:23" ht="13.5" customHeight="1" x14ac:dyDescent="0.25">
      <c r="A128" s="180"/>
      <c r="B128" s="85">
        <f>B127+1</f>
        <v>2089</v>
      </c>
      <c r="C128" s="138"/>
      <c r="D128" s="181">
        <f>IF('[1]Annual Parameters Source'!D128="","-",'[1]Annual Parameters Source'!D128/VLOOKUP($B$14,'[1]Annual Parameters Source'!$B$29:$D$139,3,1)*100)</f>
        <v>562.10083683480423</v>
      </c>
      <c r="E128" s="182" t="str">
        <f>IF('[1]Annual Parameters Source'!E128="","-",'[1]Annual Parameters Source'!E128)</f>
        <v>-</v>
      </c>
      <c r="F128" s="183">
        <f>IF('[1]Annual Parameters Source'!F128="","-",'[1]Annual Parameters Source'!F128)</f>
        <v>2.5</v>
      </c>
      <c r="G128" s="184">
        <f>IF('[1]Annual Parameters Source'!G128="","-",'[1]Annual Parameters Source'!G128)</f>
        <v>994.34412013764097</v>
      </c>
      <c r="H128" s="182" t="str">
        <f>IF('[1]Annual Parameters Source'!H128="","-",'[1]Annual Parameters Source'!H128)</f>
        <v>-</v>
      </c>
      <c r="I128" s="183">
        <f>IF('[1]Annual Parameters Source'!I128="","-",'[1]Annual Parameters Source'!I128)</f>
        <v>0.30920442667492498</v>
      </c>
      <c r="J128" s="184">
        <f>IF('[1]Annual Parameters Source'!J128="","-",'[1]Annual Parameters Source'!J128)</f>
        <v>152.55535483945943</v>
      </c>
      <c r="K128" s="182" t="str">
        <f>IF('[1]Annual Parameters Source'!K128="","-",'[1]Annual Parameters Source'!K128)</f>
        <v>-</v>
      </c>
      <c r="L128" s="183">
        <f>IF('[1]Annual Parameters Source'!L128="","-",'[1]Annual Parameters Source'!L128)</f>
        <v>0.30920442667492498</v>
      </c>
      <c r="M128" s="184">
        <f>IF('[1]Annual Parameters Source'!M128="","-",'[1]Annual Parameters Source'!M128)</f>
        <v>159.43051200809376</v>
      </c>
      <c r="N128" s="182" t="str">
        <f>IF('[1]Annual Parameters Source'!N128="","-",'[1]Annual Parameters Source'!N128)</f>
        <v>-</v>
      </c>
      <c r="O128" s="183">
        <f>IF('[1]Annual Parameters Source'!O128="","-",'[1]Annual Parameters Source'!O128)</f>
        <v>2.1840424174897288</v>
      </c>
      <c r="P128" s="184">
        <f>IF('[1]Annual Parameters Source'!P128="","-",'[1]Annual Parameters Source'!P128)</f>
        <v>651.79234198893312</v>
      </c>
      <c r="Q128" s="182" t="str">
        <f>IF('[1]Annual Parameters Source'!Q128="","-",'[1]Annual Parameters Source'!Q128)</f>
        <v>-</v>
      </c>
      <c r="R128" s="183">
        <f>IF('[1]Annual Parameters Source'!R128="","-",'[1]Annual Parameters Source'!R128)</f>
        <v>2.1840424174897288</v>
      </c>
      <c r="S128" s="184">
        <f>IF('[1]Annual Parameters Source'!S128="","-",'[1]Annual Parameters Source'!S128)</f>
        <v>561.44127755370152</v>
      </c>
      <c r="T128" s="183">
        <f>IF('[1]Annual Parameters Source'!T128="","-",'[1]Annual Parameters Source'!T128)</f>
        <v>2.1840424174897288</v>
      </c>
      <c r="U128" s="183">
        <f>IF('[1]Annual Parameters Source'!U128="","-",'[1]Annual Parameters Source'!U128)</f>
        <v>2.1840424174897288</v>
      </c>
      <c r="V128" s="185">
        <f>IF('[1]Annual Parameters Source'!V128="","-",'[1]Annual Parameters Source'!V128)</f>
        <v>507.36766782448228</v>
      </c>
      <c r="W128" s="186">
        <f>IF('[1]Annual Parameters Source'!W128="","-",'[1]Annual Parameters Source'!W128)</f>
        <v>507.36766782448228</v>
      </c>
    </row>
    <row r="129" spans="1:24" ht="13.5" customHeight="1" x14ac:dyDescent="0.25">
      <c r="A129" s="180"/>
      <c r="B129" s="85">
        <f t="shared" ref="B129:B139" si="1">B128+1</f>
        <v>2090</v>
      </c>
      <c r="C129" s="138"/>
      <c r="D129" s="181">
        <f>IF('[1]Annual Parameters Source'!D129="","-",'[1]Annual Parameters Source'!D129/VLOOKUP($B$14,'[1]Annual Parameters Source'!$B$29:$D$139,3,1)*100)</f>
        <v>575.02915608200476</v>
      </c>
      <c r="E129" s="182" t="str">
        <f>IF('[1]Annual Parameters Source'!E129="","-",'[1]Annual Parameters Source'!E129)</f>
        <v>-</v>
      </c>
      <c r="F129" s="183">
        <f>IF('[1]Annual Parameters Source'!F129="","-",'[1]Annual Parameters Source'!F129)</f>
        <v>2.5</v>
      </c>
      <c r="G129" s="184">
        <f>IF('[1]Annual Parameters Source'!G129="","-",'[1]Annual Parameters Source'!G129)</f>
        <v>1019.2027231410819</v>
      </c>
      <c r="H129" s="182" t="str">
        <f>IF('[1]Annual Parameters Source'!H129="","-",'[1]Annual Parameters Source'!H129)</f>
        <v>-</v>
      </c>
      <c r="I129" s="183">
        <f>IF('[1]Annual Parameters Source'!I129="","-",'[1]Annual Parameters Source'!I129)</f>
        <v>0.30920442667492498</v>
      </c>
      <c r="J129" s="184">
        <f>IF('[1]Annual Parameters Source'!J129="","-",'[1]Annual Parameters Source'!J129)</f>
        <v>153.02706274975267</v>
      </c>
      <c r="K129" s="182" t="str">
        <f>IF('[1]Annual Parameters Source'!K129="","-",'[1]Annual Parameters Source'!K129)</f>
        <v>-</v>
      </c>
      <c r="L129" s="183">
        <f>IF('[1]Annual Parameters Source'!L129="","-",'[1]Annual Parameters Source'!L129)</f>
        <v>0.30920442667492498</v>
      </c>
      <c r="M129" s="184">
        <f>IF('[1]Annual Parameters Source'!M129="","-",'[1]Annual Parameters Source'!M129)</f>
        <v>159.9234782086933</v>
      </c>
      <c r="N129" s="182" t="str">
        <f>IF('[1]Annual Parameters Source'!N129="","-",'[1]Annual Parameters Source'!N129)</f>
        <v>-</v>
      </c>
      <c r="O129" s="183">
        <f>IF('[1]Annual Parameters Source'!O129="","-",'[1]Annual Parameters Source'!O129)</f>
        <v>2.1840424174897288</v>
      </c>
      <c r="P129" s="184">
        <f>IF('[1]Annual Parameters Source'!P129="","-",'[1]Annual Parameters Source'!P129)</f>
        <v>666.02776321192107</v>
      </c>
      <c r="Q129" s="182" t="str">
        <f>IF('[1]Annual Parameters Source'!Q129="","-",'[1]Annual Parameters Source'!Q129)</f>
        <v>-</v>
      </c>
      <c r="R129" s="183">
        <f>IF('[1]Annual Parameters Source'!R129="","-",'[1]Annual Parameters Source'!R129)</f>
        <v>2.1840424174897288</v>
      </c>
      <c r="S129" s="184">
        <f>IF('[1]Annual Parameters Source'!S129="","-",'[1]Annual Parameters Source'!S129)</f>
        <v>573.70339320477058</v>
      </c>
      <c r="T129" s="183">
        <f>IF('[1]Annual Parameters Source'!T129="","-",'[1]Annual Parameters Source'!T129)</f>
        <v>2.1840424174897288</v>
      </c>
      <c r="U129" s="183">
        <f>IF('[1]Annual Parameters Source'!U129="","-",'[1]Annual Parameters Source'!U129)</f>
        <v>2.1840424174897288</v>
      </c>
      <c r="V129" s="185">
        <f>IF('[1]Annual Parameters Source'!V129="","-",'[1]Annual Parameters Source'!V129)</f>
        <v>518.44879290239737</v>
      </c>
      <c r="W129" s="186">
        <f>IF('[1]Annual Parameters Source'!W129="","-",'[1]Annual Parameters Source'!W129)</f>
        <v>518.44879290239737</v>
      </c>
    </row>
    <row r="130" spans="1:24" ht="13.5" customHeight="1" x14ac:dyDescent="0.25">
      <c r="A130" s="180"/>
      <c r="B130" s="85">
        <f t="shared" si="1"/>
        <v>2091</v>
      </c>
      <c r="C130" s="138"/>
      <c r="D130" s="181">
        <f>IF('[1]Annual Parameters Source'!D130="","-",'[1]Annual Parameters Source'!D130/VLOOKUP($B$14,'[1]Annual Parameters Source'!$B$29:$D$139,3,1)*100)</f>
        <v>588.25482667189078</v>
      </c>
      <c r="E130" s="182" t="str">
        <f>IF('[1]Annual Parameters Source'!E130="","-",'[1]Annual Parameters Source'!E130)</f>
        <v>-</v>
      </c>
      <c r="F130" s="183">
        <f>IF('[1]Annual Parameters Source'!F130="","-",'[1]Annual Parameters Source'!F130)</f>
        <v>2.5</v>
      </c>
      <c r="G130" s="184">
        <f>IF('[1]Annual Parameters Source'!G130="","-",'[1]Annual Parameters Source'!G130)</f>
        <v>1044.682791219609</v>
      </c>
      <c r="H130" s="182" t="str">
        <f>IF('[1]Annual Parameters Source'!H130="","-",'[1]Annual Parameters Source'!H130)</f>
        <v>-</v>
      </c>
      <c r="I130" s="183">
        <f>IF('[1]Annual Parameters Source'!I130="","-",'[1]Annual Parameters Source'!I130)</f>
        <v>0.30920442667492498</v>
      </c>
      <c r="J130" s="184">
        <f>IF('[1]Annual Parameters Source'!J130="","-",'[1]Annual Parameters Source'!J130)</f>
        <v>153.50022920178552</v>
      </c>
      <c r="K130" s="182" t="str">
        <f>IF('[1]Annual Parameters Source'!K130="","-",'[1]Annual Parameters Source'!K130)</f>
        <v>-</v>
      </c>
      <c r="L130" s="183">
        <f>IF('[1]Annual Parameters Source'!L130="","-",'[1]Annual Parameters Source'!L130)</f>
        <v>0.30920442667492498</v>
      </c>
      <c r="M130" s="184">
        <f>IF('[1]Annual Parameters Source'!M130="","-",'[1]Annual Parameters Source'!M130)</f>
        <v>160.41796868260707</v>
      </c>
      <c r="N130" s="182" t="str">
        <f>IF('[1]Annual Parameters Source'!N130="","-",'[1]Annual Parameters Source'!N130)</f>
        <v>-</v>
      </c>
      <c r="O130" s="183">
        <f>IF('[1]Annual Parameters Source'!O130="","-",'[1]Annual Parameters Source'!O130)</f>
        <v>2.1840424174897288</v>
      </c>
      <c r="P130" s="184">
        <f>IF('[1]Annual Parameters Source'!P130="","-",'[1]Annual Parameters Source'!P130)</f>
        <v>680.57409207272747</v>
      </c>
      <c r="Q130" s="182" t="str">
        <f>IF('[1]Annual Parameters Source'!Q130="","-",'[1]Annual Parameters Source'!Q130)</f>
        <v>-</v>
      </c>
      <c r="R130" s="183">
        <f>IF('[1]Annual Parameters Source'!R130="","-",'[1]Annual Parameters Source'!R130)</f>
        <v>2.1840424174897288</v>
      </c>
      <c r="S130" s="184">
        <f>IF('[1]Annual Parameters Source'!S130="","-",'[1]Annual Parameters Source'!S130)</f>
        <v>586.23331866294063</v>
      </c>
      <c r="T130" s="183">
        <f>IF('[1]Annual Parameters Source'!T130="","-",'[1]Annual Parameters Source'!T130)</f>
        <v>2.1840424174897288</v>
      </c>
      <c r="U130" s="183">
        <f>IF('[1]Annual Parameters Source'!U130="","-",'[1]Annual Parameters Source'!U130)</f>
        <v>2.1840424174897288</v>
      </c>
      <c r="V130" s="185">
        <f>IF('[1]Annual Parameters Source'!V130="","-",'[1]Annual Parameters Source'!V130)</f>
        <v>529.77193445234923</v>
      </c>
      <c r="W130" s="186">
        <f>IF('[1]Annual Parameters Source'!W130="","-",'[1]Annual Parameters Source'!W130)</f>
        <v>529.77193445234923</v>
      </c>
    </row>
    <row r="131" spans="1:24" ht="13.5" customHeight="1" x14ac:dyDescent="0.25">
      <c r="A131" s="180"/>
      <c r="B131" s="85">
        <f t="shared" si="1"/>
        <v>2092</v>
      </c>
      <c r="C131" s="138"/>
      <c r="D131" s="181">
        <f>IF('[1]Annual Parameters Source'!D131="","-",'[1]Annual Parameters Source'!D131/VLOOKUP($B$14,'[1]Annual Parameters Source'!$B$29:$D$139,3,1)*100)</f>
        <v>601.78468768534424</v>
      </c>
      <c r="E131" s="182" t="str">
        <f>IF('[1]Annual Parameters Source'!E131="","-",'[1]Annual Parameters Source'!E131)</f>
        <v>-</v>
      </c>
      <c r="F131" s="183">
        <f>IF('[1]Annual Parameters Source'!F131="","-",'[1]Annual Parameters Source'!F131)</f>
        <v>2.5</v>
      </c>
      <c r="G131" s="184">
        <f>IF('[1]Annual Parameters Source'!G131="","-",'[1]Annual Parameters Source'!G131)</f>
        <v>1070.7998610000993</v>
      </c>
      <c r="H131" s="182" t="str">
        <f>IF('[1]Annual Parameters Source'!H131="","-",'[1]Annual Parameters Source'!H131)</f>
        <v>-</v>
      </c>
      <c r="I131" s="183">
        <f>IF('[1]Annual Parameters Source'!I131="","-",'[1]Annual Parameters Source'!I131)</f>
        <v>0.30920442667492498</v>
      </c>
      <c r="J131" s="184">
        <f>IF('[1]Annual Parameters Source'!J131="","-",'[1]Annual Parameters Source'!J131)</f>
        <v>153.9748587054336</v>
      </c>
      <c r="K131" s="182" t="str">
        <f>IF('[1]Annual Parameters Source'!K131="","-",'[1]Annual Parameters Source'!K131)</f>
        <v>-</v>
      </c>
      <c r="L131" s="183">
        <f>IF('[1]Annual Parameters Source'!L131="","-",'[1]Annual Parameters Source'!L131)</f>
        <v>0.30920442667492498</v>
      </c>
      <c r="M131" s="184">
        <f>IF('[1]Annual Parameters Source'!M131="","-",'[1]Annual Parameters Source'!M131)</f>
        <v>160.91398814295567</v>
      </c>
      <c r="N131" s="182" t="str">
        <f>IF('[1]Annual Parameters Source'!N131="","-",'[1]Annual Parameters Source'!N131)</f>
        <v>-</v>
      </c>
      <c r="O131" s="183">
        <f>IF('[1]Annual Parameters Source'!O131="","-",'[1]Annual Parameters Source'!O131)</f>
        <v>2.1840424174897288</v>
      </c>
      <c r="P131" s="184">
        <f>IF('[1]Annual Parameters Source'!P131="","-",'[1]Annual Parameters Source'!P131)</f>
        <v>695.43811892604151</v>
      </c>
      <c r="Q131" s="182" t="str">
        <f>IF('[1]Annual Parameters Source'!Q131="","-",'[1]Annual Parameters Source'!Q131)</f>
        <v>-</v>
      </c>
      <c r="R131" s="183">
        <f>IF('[1]Annual Parameters Source'!R131="","-",'[1]Annual Parameters Source'!R131)</f>
        <v>2.1840424174897288</v>
      </c>
      <c r="S131" s="184">
        <f>IF('[1]Annual Parameters Source'!S131="","-",'[1]Annual Parameters Source'!S131)</f>
        <v>599.03690300799701</v>
      </c>
      <c r="T131" s="183">
        <f>IF('[1]Annual Parameters Source'!T131="","-",'[1]Annual Parameters Source'!T131)</f>
        <v>2.1840424174897288</v>
      </c>
      <c r="U131" s="183">
        <f>IF('[1]Annual Parameters Source'!U131="","-",'[1]Annual Parameters Source'!U131)</f>
        <v>2.1840424174897288</v>
      </c>
      <c r="V131" s="185">
        <f>IF('[1]Annual Parameters Source'!V131="","-",'[1]Annual Parameters Source'!V131)</f>
        <v>541.34237821674446</v>
      </c>
      <c r="W131" s="186">
        <f>IF('[1]Annual Parameters Source'!W131="","-",'[1]Annual Parameters Source'!W131)</f>
        <v>541.34237821674446</v>
      </c>
    </row>
    <row r="132" spans="1:24" ht="13.5" customHeight="1" x14ac:dyDescent="0.25">
      <c r="A132" s="180"/>
      <c r="B132" s="85">
        <f t="shared" si="1"/>
        <v>2093</v>
      </c>
      <c r="C132" s="138"/>
      <c r="D132" s="181">
        <f>IF('[1]Annual Parameters Source'!D132="","-",'[1]Annual Parameters Source'!D132/VLOOKUP($B$14,'[1]Annual Parameters Source'!$B$29:$D$139,3,1)*100)</f>
        <v>615.6257355021072</v>
      </c>
      <c r="E132" s="182" t="str">
        <f>IF('[1]Annual Parameters Source'!E132="","-",'[1]Annual Parameters Source'!E132)</f>
        <v>-</v>
      </c>
      <c r="F132" s="183">
        <f>IF('[1]Annual Parameters Source'!F132="","-",'[1]Annual Parameters Source'!F132)</f>
        <v>2.5</v>
      </c>
      <c r="G132" s="184">
        <f>IF('[1]Annual Parameters Source'!G132="","-",'[1]Annual Parameters Source'!G132)</f>
        <v>1097.5698575251017</v>
      </c>
      <c r="H132" s="182" t="str">
        <f>IF('[1]Annual Parameters Source'!H132="","-",'[1]Annual Parameters Source'!H132)</f>
        <v>-</v>
      </c>
      <c r="I132" s="183">
        <f>IF('[1]Annual Parameters Source'!I132="","-",'[1]Annual Parameters Source'!I132)</f>
        <v>0.30841445123372946</v>
      </c>
      <c r="J132" s="184">
        <f>IF('[1]Annual Parameters Source'!J132="","-",'[1]Annual Parameters Source'!J132)</f>
        <v>154.44973942094788</v>
      </c>
      <c r="K132" s="182" t="str">
        <f>IF('[1]Annual Parameters Source'!K132="","-",'[1]Annual Parameters Source'!K132)</f>
        <v>-</v>
      </c>
      <c r="L132" s="183">
        <f>IF('[1]Annual Parameters Source'!L132="","-",'[1]Annual Parameters Source'!L132)</f>
        <v>0.30841445123372946</v>
      </c>
      <c r="M132" s="184">
        <f>IF('[1]Annual Parameters Source'!M132="","-",'[1]Annual Parameters Source'!M132)</f>
        <v>161.41027013644509</v>
      </c>
      <c r="N132" s="182" t="str">
        <f>IF('[1]Annual Parameters Source'!N132="","-",'[1]Annual Parameters Source'!N132)</f>
        <v>-</v>
      </c>
      <c r="O132" s="183">
        <f>IF('[1]Annual Parameters Source'!O132="","-",'[1]Annual Parameters Source'!O132)</f>
        <v>2.1848471643739709</v>
      </c>
      <c r="P132" s="184">
        <f>IF('[1]Annual Parameters Source'!P132="","-",'[1]Annual Parameters Source'!P132)</f>
        <v>710.6323789473729</v>
      </c>
      <c r="Q132" s="182" t="str">
        <f>IF('[1]Annual Parameters Source'!Q132="","-",'[1]Annual Parameters Source'!Q132)</f>
        <v>-</v>
      </c>
      <c r="R132" s="183">
        <f>IF('[1]Annual Parameters Source'!R132="","-",'[1]Annual Parameters Source'!R132)</f>
        <v>2.1848471643739709</v>
      </c>
      <c r="S132" s="184">
        <f>IF('[1]Annual Parameters Source'!S132="","-",'[1]Annual Parameters Source'!S132)</f>
        <v>612.12494379692089</v>
      </c>
      <c r="T132" s="183">
        <f>IF('[1]Annual Parameters Source'!T132="","-",'[1]Annual Parameters Source'!T132)</f>
        <v>2.1848471643739709</v>
      </c>
      <c r="U132" s="183">
        <f>IF('[1]Annual Parameters Source'!U132="","-",'[1]Annual Parameters Source'!U132)</f>
        <v>2.1848471643739709</v>
      </c>
      <c r="V132" s="185">
        <f>IF('[1]Annual Parameters Source'!V132="","-",'[1]Annual Parameters Source'!V132)</f>
        <v>553.16988181676766</v>
      </c>
      <c r="W132" s="186">
        <f>IF('[1]Annual Parameters Source'!W132="","-",'[1]Annual Parameters Source'!W132)</f>
        <v>553.16988181676766</v>
      </c>
    </row>
    <row r="133" spans="1:24" ht="13.5" customHeight="1" x14ac:dyDescent="0.25">
      <c r="A133" s="180"/>
      <c r="B133" s="85">
        <f t="shared" si="1"/>
        <v>2094</v>
      </c>
      <c r="C133" s="138"/>
      <c r="D133" s="181">
        <f>IF('[1]Annual Parameters Source'!D133="","-",'[1]Annual Parameters Source'!D133/VLOOKUP($B$14,'[1]Annual Parameters Source'!$B$29:$D$139,3,1)*100)</f>
        <v>629.78512741865552</v>
      </c>
      <c r="E133" s="182" t="str">
        <f>IF('[1]Annual Parameters Source'!E133="","-",'[1]Annual Parameters Source'!E133)</f>
        <v>-</v>
      </c>
      <c r="F133" s="183">
        <f>IF('[1]Annual Parameters Source'!F133="","-",'[1]Annual Parameters Source'!F133)</f>
        <v>2.5</v>
      </c>
      <c r="G133" s="184">
        <f>IF('[1]Annual Parameters Source'!G133="","-",'[1]Annual Parameters Source'!G133)</f>
        <v>1125.0091039632293</v>
      </c>
      <c r="H133" s="182" t="str">
        <f>IF('[1]Annual Parameters Source'!H133="","-",'[1]Annual Parameters Source'!H133)</f>
        <v>-</v>
      </c>
      <c r="I133" s="183">
        <f>IF('[1]Annual Parameters Source'!I133="","-",'[1]Annual Parameters Source'!I133)</f>
        <v>0.30841445123372946</v>
      </c>
      <c r="J133" s="184">
        <f>IF('[1]Annual Parameters Source'!J133="","-",'[1]Annual Parameters Source'!J133)</f>
        <v>154.92608473721492</v>
      </c>
      <c r="K133" s="182" t="str">
        <f>IF('[1]Annual Parameters Source'!K133="","-",'[1]Annual Parameters Source'!K133)</f>
        <v>-</v>
      </c>
      <c r="L133" s="183">
        <f>IF('[1]Annual Parameters Source'!L133="","-",'[1]Annual Parameters Source'!L133)</f>
        <v>0.30841445123372946</v>
      </c>
      <c r="M133" s="184">
        <f>IF('[1]Annual Parameters Source'!M133="","-",'[1]Annual Parameters Source'!M133)</f>
        <v>161.9080827353213</v>
      </c>
      <c r="N133" s="182" t="str">
        <f>IF('[1]Annual Parameters Source'!N133="","-",'[1]Annual Parameters Source'!N133)</f>
        <v>-</v>
      </c>
      <c r="O133" s="183">
        <f>IF('[1]Annual Parameters Source'!O133="","-",'[1]Annual Parameters Source'!O133)</f>
        <v>2.1848471643739709</v>
      </c>
      <c r="P133" s="184">
        <f>IF('[1]Annual Parameters Source'!P133="","-",'[1]Annual Parameters Source'!P133)</f>
        <v>726.15861032792793</v>
      </c>
      <c r="Q133" s="182" t="str">
        <f>IF('[1]Annual Parameters Source'!Q133="","-",'[1]Annual Parameters Source'!Q133)</f>
        <v>-</v>
      </c>
      <c r="R133" s="183">
        <f>IF('[1]Annual Parameters Source'!R133="","-",'[1]Annual Parameters Source'!R133)</f>
        <v>2.1848471643739709</v>
      </c>
      <c r="S133" s="184">
        <f>IF('[1]Annual Parameters Source'!S133="","-",'[1]Annual Parameters Source'!S133)</f>
        <v>625.49893827389371</v>
      </c>
      <c r="T133" s="183">
        <f>IF('[1]Annual Parameters Source'!T133="","-",'[1]Annual Parameters Source'!T133)</f>
        <v>2.1848471643739709</v>
      </c>
      <c r="U133" s="183">
        <f>IF('[1]Annual Parameters Source'!U133="","-",'[1]Annual Parameters Source'!U133)</f>
        <v>2.1848471643739709</v>
      </c>
      <c r="V133" s="185">
        <f>IF('[1]Annual Parameters Source'!V133="","-",'[1]Annual Parameters Source'!V133)</f>
        <v>565.25579829381218</v>
      </c>
      <c r="W133" s="186">
        <f>IF('[1]Annual Parameters Source'!W133="","-",'[1]Annual Parameters Source'!W133)</f>
        <v>565.25579829381218</v>
      </c>
    </row>
    <row r="134" spans="1:24" ht="13.5" customHeight="1" x14ac:dyDescent="0.25">
      <c r="A134" s="180"/>
      <c r="B134" s="85">
        <f t="shared" si="1"/>
        <v>2095</v>
      </c>
      <c r="C134" s="138"/>
      <c r="D134" s="181">
        <f>IF('[1]Annual Parameters Source'!D134="","-",'[1]Annual Parameters Source'!D134/VLOOKUP($B$14,'[1]Annual Parameters Source'!$B$29:$D$139,3,1)*100)</f>
        <v>644.27018534928459</v>
      </c>
      <c r="E134" s="182" t="str">
        <f>IF('[1]Annual Parameters Source'!E134="","-",'[1]Annual Parameters Source'!E134)</f>
        <v>-</v>
      </c>
      <c r="F134" s="183">
        <f>IF('[1]Annual Parameters Source'!F134="","-",'[1]Annual Parameters Source'!F134)</f>
        <v>2.5</v>
      </c>
      <c r="G134" s="184">
        <f>IF('[1]Annual Parameters Source'!G134="","-",'[1]Annual Parameters Source'!G134)</f>
        <v>1153.1343315623101</v>
      </c>
      <c r="H134" s="182" t="str">
        <f>IF('[1]Annual Parameters Source'!H134="","-",'[1]Annual Parameters Source'!H134)</f>
        <v>-</v>
      </c>
      <c r="I134" s="183">
        <f>IF('[1]Annual Parameters Source'!I134="","-",'[1]Annual Parameters Source'!I134)</f>
        <v>0.30841445123372946</v>
      </c>
      <c r="J134" s="184">
        <f>IF('[1]Annual Parameters Source'!J134="","-",'[1]Annual Parameters Source'!J134)</f>
        <v>155.40389917127513</v>
      </c>
      <c r="K134" s="182" t="str">
        <f>IF('[1]Annual Parameters Source'!K134="","-",'[1]Annual Parameters Source'!K134)</f>
        <v>-</v>
      </c>
      <c r="L134" s="183">
        <f>IF('[1]Annual Parameters Source'!L134="","-",'[1]Annual Parameters Source'!L134)</f>
        <v>0.30841445123372946</v>
      </c>
      <c r="M134" s="184">
        <f>IF('[1]Annual Parameters Source'!M134="","-",'[1]Annual Parameters Source'!M134)</f>
        <v>162.40743066019249</v>
      </c>
      <c r="N134" s="182" t="str">
        <f>IF('[1]Annual Parameters Source'!N134="","-",'[1]Annual Parameters Source'!N134)</f>
        <v>-</v>
      </c>
      <c r="O134" s="183">
        <f>IF('[1]Annual Parameters Source'!O134="","-",'[1]Annual Parameters Source'!O134)</f>
        <v>2.1848471643739709</v>
      </c>
      <c r="P134" s="184">
        <f>IF('[1]Annual Parameters Source'!P134="","-",'[1]Annual Parameters Source'!P134)</f>
        <v>742.02406613453513</v>
      </c>
      <c r="Q134" s="182" t="str">
        <f>IF('[1]Annual Parameters Source'!Q134="","-",'[1]Annual Parameters Source'!Q134)</f>
        <v>-</v>
      </c>
      <c r="R134" s="183">
        <f>IF('[1]Annual Parameters Source'!R134="","-",'[1]Annual Parameters Source'!R134)</f>
        <v>2.1848471643739709</v>
      </c>
      <c r="S134" s="184">
        <f>IF('[1]Annual Parameters Source'!S134="","-",'[1]Annual Parameters Source'!S134)</f>
        <v>639.16513408996025</v>
      </c>
      <c r="T134" s="183">
        <f>IF('[1]Annual Parameters Source'!T134="","-",'[1]Annual Parameters Source'!T134)</f>
        <v>2.1848471643739709</v>
      </c>
      <c r="U134" s="183">
        <f>IF('[1]Annual Parameters Source'!U134="","-",'[1]Annual Parameters Source'!U134)</f>
        <v>2.1848471643739709</v>
      </c>
      <c r="V134" s="185">
        <f>IF('[1]Annual Parameters Source'!V134="","-",'[1]Annual Parameters Source'!V134)</f>
        <v>577.60577357429395</v>
      </c>
      <c r="W134" s="186">
        <f>IF('[1]Annual Parameters Source'!W134="","-",'[1]Annual Parameters Source'!W134)</f>
        <v>577.60577357429395</v>
      </c>
    </row>
    <row r="135" spans="1:24" ht="13.5" customHeight="1" x14ac:dyDescent="0.25">
      <c r="A135" s="180"/>
      <c r="B135" s="85">
        <f t="shared" si="1"/>
        <v>2096</v>
      </c>
      <c r="C135" s="138"/>
      <c r="D135" s="181">
        <f>IF('[1]Annual Parameters Source'!D135="","-",'[1]Annual Parameters Source'!D135/VLOOKUP($B$14,'[1]Annual Parameters Source'!$B$29:$D$139,3,1)*100)</f>
        <v>659.08839961231809</v>
      </c>
      <c r="E135" s="182" t="str">
        <f>IF('[1]Annual Parameters Source'!E135="","-",'[1]Annual Parameters Source'!E135)</f>
        <v>-</v>
      </c>
      <c r="F135" s="183">
        <f>IF('[1]Annual Parameters Source'!F135="","-",'[1]Annual Parameters Source'!F135)</f>
        <v>2.5</v>
      </c>
      <c r="G135" s="184">
        <f>IF('[1]Annual Parameters Source'!G135="","-",'[1]Annual Parameters Source'!G135)</f>
        <v>1181.9626898513679</v>
      </c>
      <c r="H135" s="182" t="str">
        <f>IF('[1]Annual Parameters Source'!H135="","-",'[1]Annual Parameters Source'!H135)</f>
        <v>-</v>
      </c>
      <c r="I135" s="183">
        <f>IF('[1]Annual Parameters Source'!I135="","-",'[1]Annual Parameters Source'!I135)</f>
        <v>0.30841445123372946</v>
      </c>
      <c r="J135" s="184">
        <f>IF('[1]Annual Parameters Source'!J135="","-",'[1]Annual Parameters Source'!J135)</f>
        <v>155.88318725410002</v>
      </c>
      <c r="K135" s="182" t="str">
        <f>IF('[1]Annual Parameters Source'!K135="","-",'[1]Annual Parameters Source'!K135)</f>
        <v>-</v>
      </c>
      <c r="L135" s="183">
        <f>IF('[1]Annual Parameters Source'!L135="","-",'[1]Annual Parameters Source'!L135)</f>
        <v>0.30841445123372946</v>
      </c>
      <c r="M135" s="184">
        <f>IF('[1]Annual Parameters Source'!M135="","-",'[1]Annual Parameters Source'!M135)</f>
        <v>162.90831864622592</v>
      </c>
      <c r="N135" s="182" t="str">
        <f>IF('[1]Annual Parameters Source'!N135="","-",'[1]Annual Parameters Source'!N135)</f>
        <v>-</v>
      </c>
      <c r="O135" s="183">
        <f>IF('[1]Annual Parameters Source'!O135="","-",'[1]Annual Parameters Source'!O135)</f>
        <v>2.1848471643739709</v>
      </c>
      <c r="P135" s="184">
        <f>IF('[1]Annual Parameters Source'!P135="","-",'[1]Annual Parameters Source'!P135)</f>
        <v>758.23615790244799</v>
      </c>
      <c r="Q135" s="182" t="str">
        <f>IF('[1]Annual Parameters Source'!Q135="","-",'[1]Annual Parameters Source'!Q135)</f>
        <v>-</v>
      </c>
      <c r="R135" s="183">
        <f>IF('[1]Annual Parameters Source'!R135="","-",'[1]Annual Parameters Source'!R135)</f>
        <v>2.1848471643739709</v>
      </c>
      <c r="S135" s="184">
        <f>IF('[1]Annual Parameters Source'!S135="","-",'[1]Annual Parameters Source'!S135)</f>
        <v>653.12991539779182</v>
      </c>
      <c r="T135" s="183">
        <f>IF('[1]Annual Parameters Source'!T135="","-",'[1]Annual Parameters Source'!T135)</f>
        <v>2.1848471643739709</v>
      </c>
      <c r="U135" s="183">
        <f>IF('[1]Annual Parameters Source'!U135="","-",'[1]Annual Parameters Source'!U135)</f>
        <v>2.1848471643739709</v>
      </c>
      <c r="V135" s="185">
        <f>IF('[1]Annual Parameters Source'!V135="","-",'[1]Annual Parameters Source'!V135)</f>
        <v>590.22557693949227</v>
      </c>
      <c r="W135" s="186">
        <f>IF('[1]Annual Parameters Source'!W135="","-",'[1]Annual Parameters Source'!W135)</f>
        <v>590.22557693949227</v>
      </c>
    </row>
    <row r="136" spans="1:24" ht="13.5" customHeight="1" x14ac:dyDescent="0.25">
      <c r="A136" s="180"/>
      <c r="B136" s="85">
        <f t="shared" si="1"/>
        <v>2097</v>
      </c>
      <c r="C136" s="138"/>
      <c r="D136" s="181">
        <f>IF('[1]Annual Parameters Source'!D136="","-",'[1]Annual Parameters Source'!D136/VLOOKUP($B$14,'[1]Annual Parameters Source'!$B$29:$D$139,3,1)*100)</f>
        <v>674.24743280340135</v>
      </c>
      <c r="E136" s="182" t="str">
        <f>IF('[1]Annual Parameters Source'!E136="","-",'[1]Annual Parameters Source'!E136)</f>
        <v>-</v>
      </c>
      <c r="F136" s="183">
        <f>IF('[1]Annual Parameters Source'!F136="","-",'[1]Annual Parameters Source'!F136)</f>
        <v>2.5</v>
      </c>
      <c r="G136" s="184">
        <f>IF('[1]Annual Parameters Source'!G136="","-",'[1]Annual Parameters Source'!G136)</f>
        <v>1211.5117570976522</v>
      </c>
      <c r="H136" s="182" t="str">
        <f>IF('[1]Annual Parameters Source'!H136="","-",'[1]Annual Parameters Source'!H136)</f>
        <v>-</v>
      </c>
      <c r="I136" s="183">
        <f>IF('[1]Annual Parameters Source'!I136="","-",'[1]Annual Parameters Source'!I136)</f>
        <v>0.30841445123372946</v>
      </c>
      <c r="J136" s="184">
        <f>IF('[1]Annual Parameters Source'!J136="","-",'[1]Annual Parameters Source'!J136)</f>
        <v>156.3639535306354</v>
      </c>
      <c r="K136" s="182" t="str">
        <f>IF('[1]Annual Parameters Source'!K136="","-",'[1]Annual Parameters Source'!K136)</f>
        <v>-</v>
      </c>
      <c r="L136" s="183">
        <f>IF('[1]Annual Parameters Source'!L136="","-",'[1]Annual Parameters Source'!L136)</f>
        <v>0.30841445123372946</v>
      </c>
      <c r="M136" s="184">
        <f>IF('[1]Annual Parameters Source'!M136="","-",'[1]Annual Parameters Source'!M136)</f>
        <v>163.41075144319279</v>
      </c>
      <c r="N136" s="182" t="str">
        <f>IF('[1]Annual Parameters Source'!N136="","-",'[1]Annual Parameters Source'!N136)</f>
        <v>-</v>
      </c>
      <c r="O136" s="183">
        <f>IF('[1]Annual Parameters Source'!O136="","-",'[1]Annual Parameters Source'!O136)</f>
        <v>2.1848471643739709</v>
      </c>
      <c r="P136" s="184">
        <f>IF('[1]Annual Parameters Source'!P136="","-",'[1]Annual Parameters Source'!P136)</f>
        <v>774.80245909763778</v>
      </c>
      <c r="Q136" s="182" t="str">
        <f>IF('[1]Annual Parameters Source'!Q136="","-",'[1]Annual Parameters Source'!Q136)</f>
        <v>-</v>
      </c>
      <c r="R136" s="183">
        <f>IF('[1]Annual Parameters Source'!R136="","-",'[1]Annual Parameters Source'!R136)</f>
        <v>2.1848471643739709</v>
      </c>
      <c r="S136" s="184">
        <f>IF('[1]Annual Parameters Source'!S136="","-",'[1]Annual Parameters Source'!S136)</f>
        <v>667.3998058340386</v>
      </c>
      <c r="T136" s="183">
        <f>IF('[1]Annual Parameters Source'!T136="","-",'[1]Annual Parameters Source'!T136)</f>
        <v>2.1848471643739709</v>
      </c>
      <c r="U136" s="183">
        <f>IF('[1]Annual Parameters Source'!U136="","-",'[1]Annual Parameters Source'!U136)</f>
        <v>2.1848471643739709</v>
      </c>
      <c r="V136" s="185">
        <f>IF('[1]Annual Parameters Source'!V136="","-",'[1]Annual Parameters Source'!V136)</f>
        <v>603.12110372066468</v>
      </c>
      <c r="W136" s="186">
        <f>IF('[1]Annual Parameters Source'!W136="","-",'[1]Annual Parameters Source'!W136)</f>
        <v>603.12110372066468</v>
      </c>
    </row>
    <row r="137" spans="1:24" ht="13.5" customHeight="1" x14ac:dyDescent="0.25">
      <c r="A137" s="180"/>
      <c r="B137" s="85">
        <f t="shared" si="1"/>
        <v>2098</v>
      </c>
      <c r="C137" s="138"/>
      <c r="D137" s="181">
        <f>IF('[1]Annual Parameters Source'!D137="","-",'[1]Annual Parameters Source'!D137/VLOOKUP($B$14,'[1]Annual Parameters Source'!$B$29:$D$139,3,1)*100)</f>
        <v>689.75512375787946</v>
      </c>
      <c r="E137" s="182" t="str">
        <f>IF('[1]Annual Parameters Source'!E137="","-",'[1]Annual Parameters Source'!E137)</f>
        <v>-</v>
      </c>
      <c r="F137" s="183">
        <f>IF('[1]Annual Parameters Source'!F137="","-",'[1]Annual Parameters Source'!F137)</f>
        <v>2.5</v>
      </c>
      <c r="G137" s="184">
        <f>IF('[1]Annual Parameters Source'!G137="","-",'[1]Annual Parameters Source'!G137)</f>
        <v>1241.7995510250935</v>
      </c>
      <c r="H137" s="182" t="str">
        <f>IF('[1]Annual Parameters Source'!H137="","-",'[1]Annual Parameters Source'!H137)</f>
        <v>-</v>
      </c>
      <c r="I137" s="183">
        <f>IF('[1]Annual Parameters Source'!I137="","-",'[1]Annual Parameters Source'!I137)</f>
        <v>0.30841445123372946</v>
      </c>
      <c r="J137" s="184">
        <f>IF('[1]Annual Parameters Source'!J137="","-",'[1]Annual Parameters Source'!J137)</f>
        <v>156.84620255984427</v>
      </c>
      <c r="K137" s="182" t="str">
        <f>IF('[1]Annual Parameters Source'!K137="","-",'[1]Annual Parameters Source'!K137)</f>
        <v>-</v>
      </c>
      <c r="L137" s="183">
        <f>IF('[1]Annual Parameters Source'!L137="","-",'[1]Annual Parameters Source'!L137)</f>
        <v>0.30841445123372946</v>
      </c>
      <c r="M137" s="184">
        <f>IF('[1]Annual Parameters Source'!M137="","-",'[1]Annual Parameters Source'!M137)</f>
        <v>163.91473381551324</v>
      </c>
      <c r="N137" s="182" t="str">
        <f>IF('[1]Annual Parameters Source'!N137="","-",'[1]Annual Parameters Source'!N137)</f>
        <v>-</v>
      </c>
      <c r="O137" s="183">
        <f>IF('[1]Annual Parameters Source'!O137="","-",'[1]Annual Parameters Source'!O137)</f>
        <v>2.1848471643739709</v>
      </c>
      <c r="P137" s="184">
        <f>IF('[1]Annual Parameters Source'!P137="","-",'[1]Annual Parameters Source'!P137)</f>
        <v>791.73070865473233</v>
      </c>
      <c r="Q137" s="182" t="str">
        <f>IF('[1]Annual Parameters Source'!Q137="","-",'[1]Annual Parameters Source'!Q137)</f>
        <v>-</v>
      </c>
      <c r="R137" s="183">
        <f>IF('[1]Annual Parameters Source'!R137="","-",'[1]Annual Parameters Source'!R137)</f>
        <v>2.1848471643739709</v>
      </c>
      <c r="S137" s="184">
        <f>IF('[1]Annual Parameters Source'!S137="","-",'[1]Annual Parameters Source'!S137)</f>
        <v>681.98147156684104</v>
      </c>
      <c r="T137" s="183">
        <f>IF('[1]Annual Parameters Source'!T137="","-",'[1]Annual Parameters Source'!T137)</f>
        <v>2.1848471643739709</v>
      </c>
      <c r="U137" s="183">
        <f>IF('[1]Annual Parameters Source'!U137="","-",'[1]Annual Parameters Source'!U137)</f>
        <v>2.1848471643739709</v>
      </c>
      <c r="V137" s="185">
        <f>IF('[1]Annual Parameters Source'!V137="","-",'[1]Annual Parameters Source'!V137)</f>
        <v>616.29837805304658</v>
      </c>
      <c r="W137" s="186">
        <f>IF('[1]Annual Parameters Source'!W137="","-",'[1]Annual Parameters Source'!W137)</f>
        <v>616.29837805304658</v>
      </c>
    </row>
    <row r="138" spans="1:24" ht="13.5" customHeight="1" x14ac:dyDescent="0.25">
      <c r="A138" s="180"/>
      <c r="B138" s="85">
        <f t="shared" si="1"/>
        <v>2099</v>
      </c>
      <c r="C138" s="138"/>
      <c r="D138" s="181">
        <f>IF('[1]Annual Parameters Source'!D138="","-",'[1]Annual Parameters Source'!D138/VLOOKUP($B$14,'[1]Annual Parameters Source'!$B$29:$D$139,3,1)*100)</f>
        <v>705.61949160431061</v>
      </c>
      <c r="E138" s="182" t="str">
        <f>IF('[1]Annual Parameters Source'!E138="","-",'[1]Annual Parameters Source'!E138)</f>
        <v>-</v>
      </c>
      <c r="F138" s="183">
        <f>IF('[1]Annual Parameters Source'!F138="","-",'[1]Annual Parameters Source'!F138)</f>
        <v>2.5</v>
      </c>
      <c r="G138" s="184">
        <f>IF('[1]Annual Parameters Source'!G138="","-",'[1]Annual Parameters Source'!G138)</f>
        <v>1272.8445398007209</v>
      </c>
      <c r="H138" s="182" t="str">
        <f>IF('[1]Annual Parameters Source'!H138="","-",'[1]Annual Parameters Source'!H138)</f>
        <v>-</v>
      </c>
      <c r="I138" s="183">
        <f>IF('[1]Annual Parameters Source'!I138="","-",'[1]Annual Parameters Source'!I138)</f>
        <v>0.30841445123372946</v>
      </c>
      <c r="J138" s="184">
        <f>IF('[1]Annual Parameters Source'!J138="","-",'[1]Annual Parameters Source'!J138)</f>
        <v>157.32993891475016</v>
      </c>
      <c r="K138" s="182" t="str">
        <f>IF('[1]Annual Parameters Source'!K138="","-",'[1]Annual Parameters Source'!K138)</f>
        <v>-</v>
      </c>
      <c r="L138" s="183">
        <f>IF('[1]Annual Parameters Source'!L138="","-",'[1]Annual Parameters Source'!L138)</f>
        <v>0.30841445123372946</v>
      </c>
      <c r="M138" s="184">
        <f>IF('[1]Annual Parameters Source'!M138="","-",'[1]Annual Parameters Source'!M138)</f>
        <v>164.42027054230158</v>
      </c>
      <c r="N138" s="182" t="str">
        <f>IF('[1]Annual Parameters Source'!N138="","-",'[1]Annual Parameters Source'!N138)</f>
        <v>-</v>
      </c>
      <c r="O138" s="183">
        <f>IF('[1]Annual Parameters Source'!O138="","-",'[1]Annual Parameters Source'!O138)</f>
        <v>2.1848471643739709</v>
      </c>
      <c r="P138" s="184">
        <f>IF('[1]Annual Parameters Source'!P138="","-",'[1]Annual Parameters Source'!P138)</f>
        <v>809.02881459225318</v>
      </c>
      <c r="Q138" s="182" t="str">
        <f>IF('[1]Annual Parameters Source'!Q138="","-",'[1]Annual Parameters Source'!Q138)</f>
        <v>-</v>
      </c>
      <c r="R138" s="183">
        <f>IF('[1]Annual Parameters Source'!R138="","-",'[1]Annual Parameters Source'!R138)</f>
        <v>2.1848471643739709</v>
      </c>
      <c r="S138" s="184">
        <f>IF('[1]Annual Parameters Source'!S138="","-",'[1]Annual Parameters Source'!S138)</f>
        <v>696.88172440992503</v>
      </c>
      <c r="T138" s="183">
        <f>IF('[1]Annual Parameters Source'!T138="","-",'[1]Annual Parameters Source'!T138)</f>
        <v>2.1848471643739709</v>
      </c>
      <c r="U138" s="183">
        <f>IF('[1]Annual Parameters Source'!U138="","-",'[1]Annual Parameters Source'!U138)</f>
        <v>2.1848471643739709</v>
      </c>
      <c r="V138" s="185">
        <f>IF('[1]Annual Parameters Source'!V138="","-",'[1]Annual Parameters Source'!V138)</f>
        <v>629.76355569002135</v>
      </c>
      <c r="W138" s="186">
        <f>IF('[1]Annual Parameters Source'!W138="","-",'[1]Annual Parameters Source'!W138)</f>
        <v>629.76355569002135</v>
      </c>
    </row>
    <row r="139" spans="1:24" ht="13.5" customHeight="1" x14ac:dyDescent="0.25">
      <c r="A139" s="180"/>
      <c r="B139" s="85">
        <f t="shared" si="1"/>
        <v>2100</v>
      </c>
      <c r="C139" s="138"/>
      <c r="D139" s="181">
        <f>IF('[1]Annual Parameters Source'!D139="","-",'[1]Annual Parameters Source'!D139/VLOOKUP($B$14,'[1]Annual Parameters Source'!$B$29:$D$139,3,1)*100)</f>
        <v>721.84873991120969</v>
      </c>
      <c r="E139" s="182" t="str">
        <f>IF('[1]Annual Parameters Source'!E139="","-",'[1]Annual Parameters Source'!E139)</f>
        <v>-</v>
      </c>
      <c r="F139" s="183">
        <f>IF('[1]Annual Parameters Source'!F139="","-",'[1]Annual Parameters Source'!F139)</f>
        <v>2.5</v>
      </c>
      <c r="G139" s="184">
        <f>IF('[1]Annual Parameters Source'!G139="","-",'[1]Annual Parameters Source'!G139)</f>
        <v>1304.6656532957388</v>
      </c>
      <c r="H139" s="182" t="str">
        <f>IF('[1]Annual Parameters Source'!H139="","-",'[1]Annual Parameters Source'!H139)</f>
        <v>-</v>
      </c>
      <c r="I139" s="183">
        <f>IF('[1]Annual Parameters Source'!I139="","-",'[1]Annual Parameters Source'!I139)</f>
        <v>0.30841445123372946</v>
      </c>
      <c r="J139" s="184">
        <f>IF('[1]Annual Parameters Source'!J139="","-",'[1]Annual Parameters Source'!J139)</f>
        <v>157.81516718248045</v>
      </c>
      <c r="K139" s="182" t="str">
        <f>IF('[1]Annual Parameters Source'!K139="","-",'[1]Annual Parameters Source'!K139)</f>
        <v>-</v>
      </c>
      <c r="L139" s="183">
        <f>IF('[1]Annual Parameters Source'!L139="","-",'[1]Annual Parameters Source'!L139)</f>
        <v>0.30841445123372946</v>
      </c>
      <c r="M139" s="184">
        <f>IF('[1]Annual Parameters Source'!M139="","-",'[1]Annual Parameters Source'!M139)</f>
        <v>164.92736641741166</v>
      </c>
      <c r="N139" s="182" t="str">
        <f>IF('[1]Annual Parameters Source'!N139="","-",'[1]Annual Parameters Source'!N139)</f>
        <v>-</v>
      </c>
      <c r="O139" s="183">
        <f>IF('[1]Annual Parameters Source'!O139="","-",'[1]Annual Parameters Source'!O139)</f>
        <v>2.1848471643739709</v>
      </c>
      <c r="P139" s="184">
        <f>IF('[1]Annual Parameters Source'!P139="","-",'[1]Annual Parameters Source'!P139)</f>
        <v>826.70485770684036</v>
      </c>
      <c r="Q139" s="182" t="str">
        <f>IF('[1]Annual Parameters Source'!Q139="","-",'[1]Annual Parameters Source'!Q139)</f>
        <v>-</v>
      </c>
      <c r="R139" s="183">
        <f>IF('[1]Annual Parameters Source'!R139="","-",'[1]Annual Parameters Source'!R139)</f>
        <v>2.1848471643739709</v>
      </c>
      <c r="S139" s="184">
        <f>IF('[1]Annual Parameters Source'!S139="","-",'[1]Annual Parameters Source'!S139)</f>
        <v>712.10752500473575</v>
      </c>
      <c r="T139" s="183">
        <f>IF('[1]Annual Parameters Source'!T139="","-",'[1]Annual Parameters Source'!T139)</f>
        <v>2.1848471643739709</v>
      </c>
      <c r="U139" s="183">
        <f>IF('[1]Annual Parameters Source'!U139="","-",'[1]Annual Parameters Source'!U139)</f>
        <v>2.1848471643739709</v>
      </c>
      <c r="V139" s="185">
        <f>IF('[1]Annual Parameters Source'!V139="","-",'[1]Annual Parameters Source'!V139)</f>
        <v>643.52292687877548</v>
      </c>
      <c r="W139" s="186">
        <f>IF('[1]Annual Parameters Source'!W139="","-",'[1]Annual Parameters Source'!W139)</f>
        <v>643.52292687877548</v>
      </c>
    </row>
    <row r="140" spans="1:24" ht="13.5" customHeight="1" thickBot="1" x14ac:dyDescent="0.3">
      <c r="A140" s="188"/>
      <c r="B140" s="145"/>
      <c r="C140" s="146"/>
      <c r="D140" s="189"/>
      <c r="E140" s="190"/>
      <c r="F140" s="190"/>
      <c r="G140" s="191"/>
      <c r="H140" s="190"/>
      <c r="I140" s="190"/>
      <c r="J140" s="191"/>
      <c r="K140" s="190"/>
      <c r="L140" s="190"/>
      <c r="M140" s="191"/>
      <c r="N140" s="190"/>
      <c r="O140" s="190"/>
      <c r="P140" s="191"/>
      <c r="Q140" s="190"/>
      <c r="R140" s="190"/>
      <c r="S140" s="191"/>
      <c r="T140" s="190"/>
      <c r="U140" s="190"/>
      <c r="V140" s="103"/>
      <c r="W140" s="192"/>
      <c r="X140" s="193"/>
    </row>
    <row r="141" spans="1:24" ht="13.5" customHeight="1" thickTop="1" thickBot="1" x14ac:dyDescent="0.3">
      <c r="A141" s="85"/>
      <c r="B141" s="85"/>
      <c r="D141" s="193"/>
      <c r="E141" s="182"/>
      <c r="F141" s="182"/>
      <c r="G141" s="183"/>
      <c r="H141" s="182"/>
      <c r="I141" s="182"/>
      <c r="J141" s="183"/>
      <c r="K141" s="182"/>
      <c r="L141" s="182"/>
      <c r="M141" s="183"/>
      <c r="N141" s="182"/>
      <c r="O141" s="182"/>
      <c r="P141" s="183"/>
      <c r="Q141" s="182"/>
      <c r="R141" s="182"/>
      <c r="S141" s="183"/>
      <c r="T141" s="182"/>
      <c r="U141" s="182"/>
      <c r="V141" s="84"/>
      <c r="W141" s="85"/>
      <c r="X141" s="193"/>
    </row>
    <row r="142" spans="1:24" ht="13.5" customHeight="1" thickBot="1" x14ac:dyDescent="0.3">
      <c r="D142" s="194" t="s">
        <v>194</v>
      </c>
    </row>
  </sheetData>
  <sheetProtection sheet="1" objects="1" scenarios="1"/>
  <mergeCells count="9">
    <mergeCell ref="A13:B13"/>
    <mergeCell ref="A18:B18"/>
    <mergeCell ref="A19:B19"/>
    <mergeCell ref="E6:S6"/>
    <mergeCell ref="A7:B7"/>
    <mergeCell ref="A8:B8"/>
    <mergeCell ref="A10:B10"/>
    <mergeCell ref="A11:B11"/>
    <mergeCell ref="A12:B12"/>
  </mergeCells>
  <hyperlinks>
    <hyperlink ref="A11" location="Contents!A1" display="Contents"/>
    <hyperlink ref="D142" location="'Annual Parameters'!D29" tooltip="Top of Annual Parameters" display="Top"/>
    <hyperlink ref="A12:B12" r:id="rId1" tooltip="Unit A1.3 User &amp; Provider Impacts" display="WebTAG Unit A 1.3"/>
    <hyperlink ref="A10" location="Contents!A1" display="Contents"/>
    <hyperlink ref="K9" r:id="rId2"/>
    <hyperlink ref="F9" r:id="rId3"/>
    <hyperlink ref="F11" r:id="rId4"/>
    <hyperlink ref="L11" r:id="rId5" display="2014-2033 uses 2008-bsaed projections of UK households"/>
    <hyperlink ref="L8" r:id="rId6" display="2021 onwards from June 2015 OBR Fiscal Sustainability Report, p.7 (with 4-year transition to long-term assumption)"/>
    <hyperlink ref="F10" r:id="rId7"/>
    <hyperlink ref="L10" r:id="rId8"/>
    <hyperlink ref="I8" r:id="rId9" display="2016-2020 from HMT GDP Deflators workbook, published 16/3/2016"/>
    <hyperlink ref="N9" r:id="rId10" display="2021-2064 onwards from 2015 OBR Fiscal Sustainability Report, table 1.1, published 11/06/2015"/>
    <hyperlink ref="R9" r:id="rId11"/>
    <hyperlink ref="F8" r:id="rId12" display="1990-2015 from ONS Quarterly National Accounts Q3 2015 (series MNF2), released 30/06/2016"/>
    <hyperlink ref="Q10" r:id="rId13" display="Projections from 2021 onwards based on ONS 2012 based principal population projection, published 06/11/2013"/>
  </hyperlinks>
  <pageMargins left="0.75" right="0.75" top="1" bottom="1" header="0.5" footer="0.5"/>
  <pageSetup paperSize="8" scale="58" fitToHeight="0" orientation="landscape" r:id="rId14"/>
  <headerFooter alignWithMargins="0"/>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3"/>
  <sheetViews>
    <sheetView workbookViewId="0">
      <selection activeCell="B9" sqref="B9"/>
    </sheetView>
  </sheetViews>
  <sheetFormatPr defaultRowHeight="15" x14ac:dyDescent="0.25"/>
  <cols>
    <col min="1" max="1" width="3.28515625" customWidth="1"/>
    <col min="2" max="2" width="45.7109375" customWidth="1"/>
    <col min="3" max="3" width="16.28515625" customWidth="1"/>
    <col min="4" max="4" width="12.42578125" bestFit="1" customWidth="1"/>
    <col min="5" max="5" width="11" bestFit="1" customWidth="1"/>
  </cols>
  <sheetData>
    <row r="1" spans="2:3" ht="14.45" x14ac:dyDescent="0.3">
      <c r="B1" s="408" t="str">
        <f>Cost_Estimate!C2</f>
        <v>Chesterfield Road - Heeley Bridge / Broadfield Road</v>
      </c>
    </row>
    <row r="4" spans="2:3" ht="14.45" x14ac:dyDescent="0.3">
      <c r="B4" s="388" t="s">
        <v>113</v>
      </c>
      <c r="C4" s="438">
        <f>C15</f>
        <v>3644269.0103788241</v>
      </c>
    </row>
    <row r="5" spans="2:3" ht="14.45" x14ac:dyDescent="0.3">
      <c r="B5" s="2"/>
      <c r="C5" s="280"/>
    </row>
    <row r="6" spans="2:3" ht="14.45" x14ac:dyDescent="0.3">
      <c r="B6" s="19" t="s">
        <v>229</v>
      </c>
      <c r="C6" s="439">
        <f>Cost_Estimate!D29</f>
        <v>3051500</v>
      </c>
    </row>
    <row r="7" spans="2:3" ht="14.45" x14ac:dyDescent="0.3">
      <c r="B7" s="19" t="s">
        <v>233</v>
      </c>
      <c r="C7" s="440">
        <v>2019</v>
      </c>
    </row>
    <row r="8" spans="2:3" ht="43.15" x14ac:dyDescent="0.3">
      <c r="B8" s="346" t="s">
        <v>234</v>
      </c>
      <c r="C8" s="441">
        <f>(1.052/1.025)^(C7-2017)</f>
        <v>1.0533767995240928</v>
      </c>
    </row>
    <row r="9" spans="2:3" ht="14.45" x14ac:dyDescent="0.3">
      <c r="B9" s="19" t="s">
        <v>226</v>
      </c>
      <c r="C9" s="442">
        <v>0.44</v>
      </c>
    </row>
    <row r="10" spans="2:3" ht="14.45" x14ac:dyDescent="0.3">
      <c r="B10" s="19" t="s">
        <v>228</v>
      </c>
      <c r="C10" s="443">
        <f>'Annual Parameters'!D49</f>
        <v>100</v>
      </c>
    </row>
    <row r="11" spans="2:3" ht="14.45" x14ac:dyDescent="0.3">
      <c r="B11" s="19" t="s">
        <v>230</v>
      </c>
      <c r="C11" s="443">
        <f>'Annual Parameters'!D56</f>
        <v>110.90037138704989</v>
      </c>
    </row>
    <row r="12" spans="2:3" ht="14.45" x14ac:dyDescent="0.3">
      <c r="B12" s="19" t="s">
        <v>227</v>
      </c>
      <c r="C12" s="441">
        <f>C10/C11</f>
        <v>0.90171023549590434</v>
      </c>
    </row>
    <row r="13" spans="2:3" ht="14.45" x14ac:dyDescent="0.3">
      <c r="B13" s="19" t="s">
        <v>231</v>
      </c>
      <c r="C13" s="441">
        <f>1/(1+0.035)^(C7-2010)</f>
        <v>0.73373097218961414</v>
      </c>
    </row>
    <row r="14" spans="2:3" ht="14.45" x14ac:dyDescent="0.3">
      <c r="B14" s="19" t="s">
        <v>232</v>
      </c>
      <c r="C14" s="280">
        <v>1.19</v>
      </c>
    </row>
    <row r="15" spans="2:3" ht="14.45" x14ac:dyDescent="0.3">
      <c r="B15" s="19" t="s">
        <v>16</v>
      </c>
      <c r="C15" s="439">
        <f>C6*C8*(1+C9)*C12*C13*C14</f>
        <v>3644269.0103788241</v>
      </c>
    </row>
    <row r="18" spans="2:5" ht="14.45" x14ac:dyDescent="0.3">
      <c r="B18" s="19" t="s">
        <v>229</v>
      </c>
      <c r="C18" s="436">
        <f>C6</f>
        <v>3051500</v>
      </c>
    </row>
    <row r="19" spans="2:5" ht="14.45" x14ac:dyDescent="0.3">
      <c r="B19" s="19" t="s">
        <v>309</v>
      </c>
      <c r="C19" s="436">
        <f>C18*1.052^2-C18</f>
        <v>325607.25600000052</v>
      </c>
      <c r="D19" s="437"/>
      <c r="E19" s="437"/>
    </row>
    <row r="20" spans="2:5" ht="14.45" x14ac:dyDescent="0.3">
      <c r="B20" s="19" t="s">
        <v>310</v>
      </c>
      <c r="C20" s="436">
        <f>(C18+C19)*0.44</f>
        <v>1485927.1926400003</v>
      </c>
      <c r="D20" s="437"/>
    </row>
    <row r="21" spans="2:5" ht="14.45" x14ac:dyDescent="0.3">
      <c r="B21" s="444" t="s">
        <v>308</v>
      </c>
      <c r="C21" s="445">
        <f>SUM(C18:C20)</f>
        <v>4863034.448640001</v>
      </c>
    </row>
    <row r="22" spans="2:5" ht="14.45" x14ac:dyDescent="0.3">
      <c r="B22" s="19" t="s">
        <v>306</v>
      </c>
      <c r="C22" s="436">
        <f>C21*0.3</f>
        <v>1458910.3345920003</v>
      </c>
    </row>
    <row r="23" spans="2:5" ht="14.45" x14ac:dyDescent="0.3">
      <c r="B23" s="19" t="s">
        <v>307</v>
      </c>
      <c r="C23" s="436">
        <f>C21-C22</f>
        <v>3404124.1140480004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6"/>
  <sheetViews>
    <sheetView tabSelected="1" zoomScale="85" zoomScaleNormal="85" workbookViewId="0">
      <selection activeCell="L31" sqref="L31"/>
    </sheetView>
  </sheetViews>
  <sheetFormatPr defaultRowHeight="15" x14ac:dyDescent="0.25"/>
  <cols>
    <col min="1" max="1" width="4.7109375" customWidth="1"/>
    <col min="2" max="2" width="13.28515625" customWidth="1"/>
    <col min="4" max="4" width="9.5703125" bestFit="1" customWidth="1"/>
    <col min="12" max="12" width="13.85546875" customWidth="1"/>
  </cols>
  <sheetData>
    <row r="1" spans="2:26" ht="14.45" x14ac:dyDescent="0.3">
      <c r="B1" s="408" t="str">
        <f>Cost_Estimate!C2</f>
        <v>Chesterfield Road - Heeley Bridge / Broadfield Road</v>
      </c>
    </row>
    <row r="3" spans="2:26" thickBot="1" x14ac:dyDescent="0.35"/>
    <row r="4" spans="2:26" x14ac:dyDescent="0.25">
      <c r="B4" s="467" t="s">
        <v>241</v>
      </c>
      <c r="C4" s="461" t="s">
        <v>242</v>
      </c>
      <c r="D4" s="462"/>
      <c r="E4" s="462"/>
      <c r="F4" s="462"/>
      <c r="G4" s="462"/>
      <c r="H4" s="463"/>
      <c r="I4" s="470" t="s">
        <v>243</v>
      </c>
      <c r="J4" s="462"/>
      <c r="K4" s="462"/>
      <c r="L4" s="462"/>
      <c r="M4" s="462"/>
      <c r="N4" s="463"/>
      <c r="O4" s="470" t="s">
        <v>287</v>
      </c>
      <c r="P4" s="462"/>
      <c r="Q4" s="462"/>
      <c r="R4" s="462"/>
      <c r="S4" s="462"/>
      <c r="T4" s="463"/>
      <c r="U4" s="461" t="s">
        <v>288</v>
      </c>
      <c r="V4" s="462"/>
      <c r="W4" s="462"/>
      <c r="X4" s="462"/>
      <c r="Y4" s="462"/>
      <c r="Z4" s="463"/>
    </row>
    <row r="5" spans="2:26" x14ac:dyDescent="0.25">
      <c r="B5" s="468"/>
      <c r="C5" s="464" t="s">
        <v>244</v>
      </c>
      <c r="D5" s="465"/>
      <c r="E5" s="465" t="s">
        <v>245</v>
      </c>
      <c r="F5" s="465"/>
      <c r="G5" s="465" t="s">
        <v>246</v>
      </c>
      <c r="H5" s="466"/>
      <c r="I5" s="471" t="s">
        <v>244</v>
      </c>
      <c r="J5" s="465"/>
      <c r="K5" s="465" t="s">
        <v>245</v>
      </c>
      <c r="L5" s="465"/>
      <c r="M5" s="465" t="s">
        <v>246</v>
      </c>
      <c r="N5" s="466"/>
      <c r="O5" s="471"/>
      <c r="P5" s="465"/>
      <c r="Q5" s="465" t="s">
        <v>245</v>
      </c>
      <c r="R5" s="465"/>
      <c r="S5" s="465" t="s">
        <v>246</v>
      </c>
      <c r="T5" s="466"/>
      <c r="U5" s="464" t="s">
        <v>244</v>
      </c>
      <c r="V5" s="465"/>
      <c r="W5" s="465" t="s">
        <v>245</v>
      </c>
      <c r="X5" s="465"/>
      <c r="Y5" s="465" t="s">
        <v>246</v>
      </c>
      <c r="Z5" s="466"/>
    </row>
    <row r="6" spans="2:26" ht="15.75" thickBot="1" x14ac:dyDescent="0.3">
      <c r="B6" s="469"/>
      <c r="C6" s="348" t="s">
        <v>92</v>
      </c>
      <c r="D6" s="349" t="s">
        <v>90</v>
      </c>
      <c r="E6" s="349" t="s">
        <v>92</v>
      </c>
      <c r="F6" s="349" t="s">
        <v>90</v>
      </c>
      <c r="G6" s="349" t="s">
        <v>92</v>
      </c>
      <c r="H6" s="350" t="s">
        <v>90</v>
      </c>
      <c r="I6" s="351" t="s">
        <v>92</v>
      </c>
      <c r="J6" s="349" t="s">
        <v>90</v>
      </c>
      <c r="K6" s="349" t="s">
        <v>92</v>
      </c>
      <c r="L6" s="349" t="s">
        <v>90</v>
      </c>
      <c r="M6" s="349" t="s">
        <v>92</v>
      </c>
      <c r="N6" s="350" t="s">
        <v>90</v>
      </c>
      <c r="O6" s="351" t="s">
        <v>92</v>
      </c>
      <c r="P6" s="349" t="s">
        <v>90</v>
      </c>
      <c r="Q6" s="349" t="s">
        <v>92</v>
      </c>
      <c r="R6" s="349" t="s">
        <v>90</v>
      </c>
      <c r="S6" s="349" t="s">
        <v>92</v>
      </c>
      <c r="T6" s="350" t="s">
        <v>90</v>
      </c>
      <c r="U6" s="348" t="s">
        <v>92</v>
      </c>
      <c r="V6" s="349" t="s">
        <v>90</v>
      </c>
      <c r="W6" s="349" t="s">
        <v>92</v>
      </c>
      <c r="X6" s="349" t="s">
        <v>90</v>
      </c>
      <c r="Y6" s="349" t="s">
        <v>92</v>
      </c>
      <c r="Z6" s="350" t="s">
        <v>90</v>
      </c>
    </row>
    <row r="7" spans="2:26" ht="14.45" x14ac:dyDescent="0.3">
      <c r="B7" s="409">
        <v>1</v>
      </c>
      <c r="C7" s="352">
        <v>510</v>
      </c>
      <c r="D7" s="353">
        <v>27</v>
      </c>
      <c r="E7" s="353">
        <v>540</v>
      </c>
      <c r="F7" s="353">
        <v>29</v>
      </c>
      <c r="G7" s="353">
        <f>E7-C7</f>
        <v>30</v>
      </c>
      <c r="H7" s="354">
        <f t="shared" ref="H7:H14" si="0">F7-D7</f>
        <v>2</v>
      </c>
      <c r="I7" s="355">
        <v>182</v>
      </c>
      <c r="J7" s="353">
        <v>203</v>
      </c>
      <c r="K7" s="353">
        <v>64</v>
      </c>
      <c r="L7" s="353">
        <v>171</v>
      </c>
      <c r="M7" s="353">
        <f>K7-I7</f>
        <v>-118</v>
      </c>
      <c r="N7" s="354">
        <f t="shared" ref="N7:N15" si="1">L7-J7</f>
        <v>-32</v>
      </c>
      <c r="O7" s="355">
        <f>C7*I7</f>
        <v>92820</v>
      </c>
      <c r="P7" s="355">
        <f t="shared" ref="P7:R14" si="2">D7*J7</f>
        <v>5481</v>
      </c>
      <c r="Q7" s="355">
        <f t="shared" si="2"/>
        <v>34560</v>
      </c>
      <c r="R7" s="355">
        <f t="shared" si="2"/>
        <v>4959</v>
      </c>
      <c r="S7" s="353">
        <f>Q7-O7</f>
        <v>-58260</v>
      </c>
      <c r="T7" s="354">
        <f t="shared" ref="T7:T14" si="3">R7-P7</f>
        <v>-522</v>
      </c>
      <c r="U7" s="373">
        <f t="shared" ref="U7:X14" si="4">O7/60</f>
        <v>1547</v>
      </c>
      <c r="V7" s="374">
        <f t="shared" si="4"/>
        <v>91.35</v>
      </c>
      <c r="W7" s="374">
        <f t="shared" si="4"/>
        <v>576</v>
      </c>
      <c r="X7" s="374">
        <f t="shared" si="4"/>
        <v>82.65</v>
      </c>
      <c r="Y7" s="375">
        <f>W7-U7</f>
        <v>-971</v>
      </c>
      <c r="Z7" s="376">
        <f t="shared" ref="Z7:Z14" si="5">X7-V7</f>
        <v>-8.6999999999999886</v>
      </c>
    </row>
    <row r="8" spans="2:26" ht="14.45" x14ac:dyDescent="0.3">
      <c r="B8" s="410">
        <v>2</v>
      </c>
      <c r="C8" s="356">
        <v>394</v>
      </c>
      <c r="D8" s="357">
        <v>17</v>
      </c>
      <c r="E8" s="357">
        <v>413</v>
      </c>
      <c r="F8" s="357">
        <v>18</v>
      </c>
      <c r="G8" s="357">
        <f t="shared" ref="G8:G14" si="6">E8-C8</f>
        <v>19</v>
      </c>
      <c r="H8" s="358">
        <f t="shared" si="0"/>
        <v>1</v>
      </c>
      <c r="I8" s="359">
        <v>134</v>
      </c>
      <c r="J8" s="357">
        <v>193</v>
      </c>
      <c r="K8" s="357">
        <v>118</v>
      </c>
      <c r="L8" s="357">
        <v>160</v>
      </c>
      <c r="M8" s="357">
        <f t="shared" ref="M8:M15" si="7">K8-I8</f>
        <v>-16</v>
      </c>
      <c r="N8" s="358">
        <f t="shared" si="1"/>
        <v>-33</v>
      </c>
      <c r="O8" s="355">
        <f t="shared" ref="O8:O14" si="8">C8*I8</f>
        <v>52796</v>
      </c>
      <c r="P8" s="355">
        <f t="shared" si="2"/>
        <v>3281</v>
      </c>
      <c r="Q8" s="355">
        <f t="shared" si="2"/>
        <v>48734</v>
      </c>
      <c r="R8" s="355">
        <f t="shared" si="2"/>
        <v>2880</v>
      </c>
      <c r="S8" s="357">
        <f t="shared" ref="S8:S14" si="9">Q8-O8</f>
        <v>-4062</v>
      </c>
      <c r="T8" s="358">
        <f t="shared" si="3"/>
        <v>-401</v>
      </c>
      <c r="U8" s="373">
        <f t="shared" si="4"/>
        <v>879.93333333333328</v>
      </c>
      <c r="V8" s="374">
        <f t="shared" si="4"/>
        <v>54.68333333333333</v>
      </c>
      <c r="W8" s="374">
        <f t="shared" si="4"/>
        <v>812.23333333333335</v>
      </c>
      <c r="X8" s="374">
        <f t="shared" si="4"/>
        <v>48</v>
      </c>
      <c r="Y8" s="377">
        <f t="shared" ref="Y8:Y14" si="10">W8-U8</f>
        <v>-67.699999999999932</v>
      </c>
      <c r="Z8" s="378">
        <f t="shared" si="5"/>
        <v>-6.68333333333333</v>
      </c>
    </row>
    <row r="9" spans="2:26" ht="14.45" x14ac:dyDescent="0.3">
      <c r="B9" s="410">
        <v>3</v>
      </c>
      <c r="C9" s="356">
        <v>458</v>
      </c>
      <c r="D9" s="357">
        <v>15</v>
      </c>
      <c r="E9" s="357">
        <v>470</v>
      </c>
      <c r="F9" s="357">
        <v>16</v>
      </c>
      <c r="G9" s="357">
        <f t="shared" si="6"/>
        <v>12</v>
      </c>
      <c r="H9" s="358">
        <f t="shared" si="0"/>
        <v>1</v>
      </c>
      <c r="I9" s="359">
        <v>350</v>
      </c>
      <c r="J9" s="357">
        <v>262</v>
      </c>
      <c r="K9" s="357">
        <v>314</v>
      </c>
      <c r="L9" s="357">
        <v>239</v>
      </c>
      <c r="M9" s="357">
        <f t="shared" si="7"/>
        <v>-36</v>
      </c>
      <c r="N9" s="358">
        <f t="shared" si="1"/>
        <v>-23</v>
      </c>
      <c r="O9" s="355">
        <f t="shared" si="8"/>
        <v>160300</v>
      </c>
      <c r="P9" s="355">
        <f t="shared" si="2"/>
        <v>3930</v>
      </c>
      <c r="Q9" s="355">
        <f t="shared" si="2"/>
        <v>147580</v>
      </c>
      <c r="R9" s="355">
        <f t="shared" si="2"/>
        <v>3824</v>
      </c>
      <c r="S9" s="357">
        <f t="shared" si="9"/>
        <v>-12720</v>
      </c>
      <c r="T9" s="358">
        <f t="shared" si="3"/>
        <v>-106</v>
      </c>
      <c r="U9" s="373">
        <f t="shared" si="4"/>
        <v>2671.6666666666665</v>
      </c>
      <c r="V9" s="374">
        <f t="shared" si="4"/>
        <v>65.5</v>
      </c>
      <c r="W9" s="374">
        <f t="shared" si="4"/>
        <v>2459.6666666666665</v>
      </c>
      <c r="X9" s="374">
        <f t="shared" si="4"/>
        <v>63.733333333333334</v>
      </c>
      <c r="Y9" s="377">
        <f t="shared" si="10"/>
        <v>-212</v>
      </c>
      <c r="Z9" s="378">
        <f t="shared" si="5"/>
        <v>-1.7666666666666657</v>
      </c>
    </row>
    <row r="10" spans="2:26" ht="14.45" x14ac:dyDescent="0.3">
      <c r="B10" s="411">
        <v>4</v>
      </c>
      <c r="C10" s="356">
        <v>415</v>
      </c>
      <c r="D10" s="357">
        <v>18</v>
      </c>
      <c r="E10" s="357">
        <v>412</v>
      </c>
      <c r="F10" s="357">
        <v>19</v>
      </c>
      <c r="G10" s="357">
        <f t="shared" si="6"/>
        <v>-3</v>
      </c>
      <c r="H10" s="358">
        <f t="shared" si="0"/>
        <v>1</v>
      </c>
      <c r="I10" s="359">
        <v>124</v>
      </c>
      <c r="J10" s="357">
        <v>207</v>
      </c>
      <c r="K10" s="357">
        <v>102</v>
      </c>
      <c r="L10" s="357">
        <v>188</v>
      </c>
      <c r="M10" s="357">
        <f t="shared" si="7"/>
        <v>-22</v>
      </c>
      <c r="N10" s="358">
        <f t="shared" si="1"/>
        <v>-19</v>
      </c>
      <c r="O10" s="355">
        <f t="shared" si="8"/>
        <v>51460</v>
      </c>
      <c r="P10" s="355">
        <f t="shared" si="2"/>
        <v>3726</v>
      </c>
      <c r="Q10" s="355">
        <f t="shared" si="2"/>
        <v>42024</v>
      </c>
      <c r="R10" s="355">
        <f t="shared" si="2"/>
        <v>3572</v>
      </c>
      <c r="S10" s="357">
        <f t="shared" si="9"/>
        <v>-9436</v>
      </c>
      <c r="T10" s="358">
        <f t="shared" si="3"/>
        <v>-154</v>
      </c>
      <c r="U10" s="373">
        <f t="shared" si="4"/>
        <v>857.66666666666663</v>
      </c>
      <c r="V10" s="374">
        <f t="shared" si="4"/>
        <v>62.1</v>
      </c>
      <c r="W10" s="374">
        <f t="shared" si="4"/>
        <v>700.4</v>
      </c>
      <c r="X10" s="374">
        <f t="shared" si="4"/>
        <v>59.533333333333331</v>
      </c>
      <c r="Y10" s="377">
        <f t="shared" si="10"/>
        <v>-157.26666666666665</v>
      </c>
      <c r="Z10" s="378">
        <f t="shared" si="5"/>
        <v>-2.56666666666667</v>
      </c>
    </row>
    <row r="11" spans="2:26" ht="14.45" x14ac:dyDescent="0.3">
      <c r="B11" s="411">
        <v>5</v>
      </c>
      <c r="C11" s="356">
        <v>433</v>
      </c>
      <c r="D11" s="357">
        <v>18</v>
      </c>
      <c r="E11" s="357">
        <v>438</v>
      </c>
      <c r="F11" s="357">
        <v>18</v>
      </c>
      <c r="G11" s="357">
        <f t="shared" si="6"/>
        <v>5</v>
      </c>
      <c r="H11" s="358">
        <f t="shared" si="0"/>
        <v>0</v>
      </c>
      <c r="I11" s="359">
        <v>123</v>
      </c>
      <c r="J11" s="357">
        <v>130</v>
      </c>
      <c r="K11" s="357">
        <v>63</v>
      </c>
      <c r="L11" s="357">
        <v>89</v>
      </c>
      <c r="M11" s="357">
        <f t="shared" si="7"/>
        <v>-60</v>
      </c>
      <c r="N11" s="358">
        <f t="shared" si="1"/>
        <v>-41</v>
      </c>
      <c r="O11" s="355">
        <f t="shared" si="8"/>
        <v>53259</v>
      </c>
      <c r="P11" s="355">
        <f t="shared" si="2"/>
        <v>2340</v>
      </c>
      <c r="Q11" s="355">
        <f t="shared" si="2"/>
        <v>27594</v>
      </c>
      <c r="R11" s="355">
        <f t="shared" si="2"/>
        <v>1602</v>
      </c>
      <c r="S11" s="357">
        <f t="shared" si="9"/>
        <v>-25665</v>
      </c>
      <c r="T11" s="358">
        <f t="shared" si="3"/>
        <v>-738</v>
      </c>
      <c r="U11" s="373">
        <f t="shared" si="4"/>
        <v>887.65</v>
      </c>
      <c r="V11" s="374">
        <f t="shared" si="4"/>
        <v>39</v>
      </c>
      <c r="W11" s="374">
        <f t="shared" si="4"/>
        <v>459.9</v>
      </c>
      <c r="X11" s="374">
        <f t="shared" si="4"/>
        <v>26.7</v>
      </c>
      <c r="Y11" s="377">
        <f t="shared" si="10"/>
        <v>-427.75</v>
      </c>
      <c r="Z11" s="378">
        <f t="shared" si="5"/>
        <v>-12.3</v>
      </c>
    </row>
    <row r="12" spans="2:26" ht="14.45" x14ac:dyDescent="0.3">
      <c r="B12" s="412">
        <v>6</v>
      </c>
      <c r="C12" s="356">
        <v>0</v>
      </c>
      <c r="D12" s="357">
        <v>7</v>
      </c>
      <c r="E12" s="357">
        <v>0</v>
      </c>
      <c r="F12" s="357">
        <v>7</v>
      </c>
      <c r="G12" s="357">
        <f t="shared" si="6"/>
        <v>0</v>
      </c>
      <c r="H12" s="358">
        <f t="shared" si="0"/>
        <v>0</v>
      </c>
      <c r="I12" s="359">
        <v>0</v>
      </c>
      <c r="J12" s="357">
        <v>89</v>
      </c>
      <c r="K12" s="357">
        <v>0</v>
      </c>
      <c r="L12" s="357">
        <v>90</v>
      </c>
      <c r="M12" s="357">
        <f t="shared" si="7"/>
        <v>0</v>
      </c>
      <c r="N12" s="358">
        <f t="shared" si="1"/>
        <v>1</v>
      </c>
      <c r="O12" s="355">
        <f t="shared" si="8"/>
        <v>0</v>
      </c>
      <c r="P12" s="355">
        <f t="shared" si="2"/>
        <v>623</v>
      </c>
      <c r="Q12" s="355">
        <f t="shared" si="2"/>
        <v>0</v>
      </c>
      <c r="R12" s="355">
        <f t="shared" si="2"/>
        <v>630</v>
      </c>
      <c r="S12" s="357">
        <f t="shared" si="9"/>
        <v>0</v>
      </c>
      <c r="T12" s="358">
        <f t="shared" si="3"/>
        <v>7</v>
      </c>
      <c r="U12" s="373">
        <f t="shared" si="4"/>
        <v>0</v>
      </c>
      <c r="V12" s="374">
        <f t="shared" si="4"/>
        <v>10.383333333333333</v>
      </c>
      <c r="W12" s="374">
        <f t="shared" si="4"/>
        <v>0</v>
      </c>
      <c r="X12" s="374">
        <f t="shared" si="4"/>
        <v>10.5</v>
      </c>
      <c r="Y12" s="377">
        <f t="shared" si="10"/>
        <v>0</v>
      </c>
      <c r="Z12" s="378">
        <f t="shared" si="5"/>
        <v>0.11666666666666714</v>
      </c>
    </row>
    <row r="13" spans="2:26" ht="14.45" x14ac:dyDescent="0.3">
      <c r="B13" s="413">
        <v>7</v>
      </c>
      <c r="C13" s="356">
        <v>489</v>
      </c>
      <c r="D13" s="357">
        <v>0</v>
      </c>
      <c r="E13" s="357">
        <v>492</v>
      </c>
      <c r="F13" s="357">
        <v>0</v>
      </c>
      <c r="G13" s="357">
        <f t="shared" si="6"/>
        <v>3</v>
      </c>
      <c r="H13" s="358">
        <f t="shared" si="0"/>
        <v>0</v>
      </c>
      <c r="I13" s="359">
        <v>43</v>
      </c>
      <c r="J13" s="357">
        <v>0</v>
      </c>
      <c r="K13" s="357">
        <v>41</v>
      </c>
      <c r="L13" s="357">
        <v>0</v>
      </c>
      <c r="M13" s="357">
        <f t="shared" si="7"/>
        <v>-2</v>
      </c>
      <c r="N13" s="358">
        <f t="shared" si="1"/>
        <v>0</v>
      </c>
      <c r="O13" s="355">
        <f t="shared" si="8"/>
        <v>21027</v>
      </c>
      <c r="P13" s="355">
        <f t="shared" si="2"/>
        <v>0</v>
      </c>
      <c r="Q13" s="355">
        <f t="shared" si="2"/>
        <v>20172</v>
      </c>
      <c r="R13" s="355">
        <f t="shared" si="2"/>
        <v>0</v>
      </c>
      <c r="S13" s="357">
        <f t="shared" si="9"/>
        <v>-855</v>
      </c>
      <c r="T13" s="358">
        <f t="shared" si="3"/>
        <v>0</v>
      </c>
      <c r="U13" s="373">
        <f t="shared" si="4"/>
        <v>350.45</v>
      </c>
      <c r="V13" s="374">
        <f t="shared" si="4"/>
        <v>0</v>
      </c>
      <c r="W13" s="374">
        <f t="shared" si="4"/>
        <v>336.2</v>
      </c>
      <c r="X13" s="374">
        <f t="shared" si="4"/>
        <v>0</v>
      </c>
      <c r="Y13" s="377">
        <f t="shared" si="10"/>
        <v>-14.25</v>
      </c>
      <c r="Z13" s="378">
        <f t="shared" si="5"/>
        <v>0</v>
      </c>
    </row>
    <row r="14" spans="2:26" thickBot="1" x14ac:dyDescent="0.35">
      <c r="B14" s="414">
        <v>8</v>
      </c>
      <c r="C14" s="360">
        <v>271</v>
      </c>
      <c r="D14" s="361">
        <v>1</v>
      </c>
      <c r="E14" s="361">
        <v>282</v>
      </c>
      <c r="F14" s="361">
        <v>1</v>
      </c>
      <c r="G14" s="361">
        <f t="shared" si="6"/>
        <v>11</v>
      </c>
      <c r="H14" s="362">
        <f t="shared" si="0"/>
        <v>0</v>
      </c>
      <c r="I14" s="363">
        <v>141</v>
      </c>
      <c r="J14" s="361">
        <v>202</v>
      </c>
      <c r="K14" s="361">
        <v>13</v>
      </c>
      <c r="L14" s="361">
        <v>42</v>
      </c>
      <c r="M14" s="361">
        <f t="shared" si="7"/>
        <v>-128</v>
      </c>
      <c r="N14" s="362">
        <f t="shared" si="1"/>
        <v>-160</v>
      </c>
      <c r="O14" s="355">
        <f t="shared" si="8"/>
        <v>38211</v>
      </c>
      <c r="P14" s="355">
        <f t="shared" si="2"/>
        <v>202</v>
      </c>
      <c r="Q14" s="355">
        <f t="shared" si="2"/>
        <v>3666</v>
      </c>
      <c r="R14" s="355">
        <f t="shared" si="2"/>
        <v>42</v>
      </c>
      <c r="S14" s="361">
        <f t="shared" si="9"/>
        <v>-34545</v>
      </c>
      <c r="T14" s="362">
        <f t="shared" si="3"/>
        <v>-160</v>
      </c>
      <c r="U14" s="373">
        <f t="shared" si="4"/>
        <v>636.85</v>
      </c>
      <c r="V14" s="374">
        <f t="shared" si="4"/>
        <v>3.3666666666666667</v>
      </c>
      <c r="W14" s="374">
        <f t="shared" si="4"/>
        <v>61.1</v>
      </c>
      <c r="X14" s="374">
        <f t="shared" si="4"/>
        <v>0.7</v>
      </c>
      <c r="Y14" s="379">
        <f t="shared" si="10"/>
        <v>-575.75</v>
      </c>
      <c r="Z14" s="380">
        <f t="shared" si="5"/>
        <v>-2.666666666666667</v>
      </c>
    </row>
    <row r="15" spans="2:26" thickBot="1" x14ac:dyDescent="0.35">
      <c r="B15" s="364"/>
      <c r="C15" s="365">
        <f>SUM(C7:C14)</f>
        <v>2970</v>
      </c>
      <c r="D15" s="366">
        <f t="shared" ref="D15:H15" si="11">SUM(D7:D14)</f>
        <v>103</v>
      </c>
      <c r="E15" s="366">
        <f t="shared" si="11"/>
        <v>3047</v>
      </c>
      <c r="F15" s="366">
        <f t="shared" si="11"/>
        <v>108</v>
      </c>
      <c r="G15" s="366">
        <f t="shared" si="11"/>
        <v>77</v>
      </c>
      <c r="H15" s="367">
        <f t="shared" si="11"/>
        <v>5</v>
      </c>
      <c r="I15" s="368">
        <f>O15/C15</f>
        <v>158.20639730639729</v>
      </c>
      <c r="J15" s="369">
        <f t="shared" ref="J15:L15" si="12">P15/D15</f>
        <v>190.126213592233</v>
      </c>
      <c r="K15" s="369">
        <f t="shared" si="12"/>
        <v>106.44240236297998</v>
      </c>
      <c r="L15" s="369">
        <f t="shared" si="12"/>
        <v>162.12037037037038</v>
      </c>
      <c r="M15" s="369">
        <f t="shared" si="7"/>
        <v>-51.763994943417316</v>
      </c>
      <c r="N15" s="370">
        <f t="shared" si="1"/>
        <v>-28.005843221862619</v>
      </c>
      <c r="O15" s="371">
        <f t="shared" ref="O15:T15" si="13">SUM(O7:O14)</f>
        <v>469873</v>
      </c>
      <c r="P15" s="366">
        <f t="shared" si="13"/>
        <v>19583</v>
      </c>
      <c r="Q15" s="366">
        <f t="shared" si="13"/>
        <v>324330</v>
      </c>
      <c r="R15" s="366">
        <f t="shared" si="13"/>
        <v>17509</v>
      </c>
      <c r="S15" s="366">
        <f t="shared" si="13"/>
        <v>-145543</v>
      </c>
      <c r="T15" s="367">
        <f t="shared" si="13"/>
        <v>-2074</v>
      </c>
      <c r="U15" s="381">
        <f t="shared" ref="U15:Z15" si="14">SUM(U7:U14)</f>
        <v>7831.2166666666672</v>
      </c>
      <c r="V15" s="382">
        <f t="shared" si="14"/>
        <v>326.38333333333333</v>
      </c>
      <c r="W15" s="382">
        <f t="shared" si="14"/>
        <v>5405.4999999999991</v>
      </c>
      <c r="X15" s="382">
        <f t="shared" si="14"/>
        <v>291.81666666666666</v>
      </c>
      <c r="Y15" s="382">
        <f t="shared" si="14"/>
        <v>-2425.7166666666662</v>
      </c>
      <c r="Z15" s="383">
        <f t="shared" si="14"/>
        <v>-34.566666666666649</v>
      </c>
    </row>
    <row r="16" spans="2:26" ht="14.45" x14ac:dyDescent="0.3">
      <c r="C16" s="372">
        <f>C15/(C15+D15)</f>
        <v>0.96648226488773181</v>
      </c>
      <c r="D16" s="372">
        <f>D15/(C15+D15)</f>
        <v>3.3517735112268139E-2</v>
      </c>
      <c r="U16" s="415">
        <f>U15/60</f>
        <v>130.52027777777778</v>
      </c>
      <c r="V16" s="415">
        <f t="shared" ref="V16:X16" si="15">V15/60</f>
        <v>5.4397222222222217</v>
      </c>
      <c r="W16" s="415">
        <f t="shared" si="15"/>
        <v>90.091666666666654</v>
      </c>
      <c r="X16" s="415">
        <f t="shared" si="15"/>
        <v>4.8636111111111111</v>
      </c>
      <c r="Y16" s="415">
        <f t="shared" ref="Y16:Z16" si="16">W16-U16</f>
        <v>-40.428611111111124</v>
      </c>
      <c r="Z16" s="415">
        <f t="shared" si="16"/>
        <v>-0.57611111111111057</v>
      </c>
    </row>
    <row r="17" spans="2:26" thickBot="1" x14ac:dyDescent="0.35">
      <c r="U17" s="472">
        <f>U16+V16</f>
        <v>135.96</v>
      </c>
      <c r="V17" s="472"/>
      <c r="W17" s="472">
        <f>W16+X16</f>
        <v>94.955277777777766</v>
      </c>
      <c r="X17" s="472"/>
      <c r="Y17" s="472">
        <f>W17-U17</f>
        <v>-41.004722222222242</v>
      </c>
      <c r="Z17" s="472"/>
    </row>
    <row r="18" spans="2:26" x14ac:dyDescent="0.25">
      <c r="B18" s="475" t="s">
        <v>241</v>
      </c>
      <c r="C18" s="461" t="s">
        <v>300</v>
      </c>
      <c r="D18" s="462"/>
      <c r="E18" s="462"/>
      <c r="F18" s="462"/>
      <c r="G18" s="462"/>
      <c r="H18" s="463"/>
    </row>
    <row r="19" spans="2:26" x14ac:dyDescent="0.25">
      <c r="B19" s="476"/>
      <c r="C19" s="464" t="s">
        <v>244</v>
      </c>
      <c r="D19" s="465"/>
      <c r="E19" s="465" t="s">
        <v>245</v>
      </c>
      <c r="F19" s="465"/>
      <c r="G19" s="465" t="s">
        <v>246</v>
      </c>
      <c r="H19" s="466"/>
    </row>
    <row r="20" spans="2:26" ht="15.75" thickBot="1" x14ac:dyDescent="0.3">
      <c r="B20" s="477"/>
      <c r="C20" s="348" t="s">
        <v>295</v>
      </c>
      <c r="D20" s="349" t="s">
        <v>296</v>
      </c>
      <c r="E20" s="349" t="s">
        <v>295</v>
      </c>
      <c r="F20" s="349" t="s">
        <v>296</v>
      </c>
      <c r="G20" s="349" t="s">
        <v>295</v>
      </c>
      <c r="H20" s="350" t="s">
        <v>296</v>
      </c>
    </row>
    <row r="21" spans="2:26" ht="14.45" x14ac:dyDescent="0.3">
      <c r="B21" s="409">
        <v>1</v>
      </c>
      <c r="C21" s="352">
        <f>C7+D7</f>
        <v>537</v>
      </c>
      <c r="D21" s="416">
        <f>(O7+P7)/C21</f>
        <v>183.0558659217877</v>
      </c>
      <c r="E21" s="353">
        <f>E7+F7</f>
        <v>569</v>
      </c>
      <c r="F21" s="416">
        <f>(Q7+R7)/E21</f>
        <v>69.453427065026361</v>
      </c>
      <c r="G21" s="416">
        <f>E21-C21</f>
        <v>32</v>
      </c>
      <c r="H21" s="417">
        <f t="shared" ref="H21:H29" si="17">F21-D21</f>
        <v>-113.60243885676134</v>
      </c>
    </row>
    <row r="22" spans="2:26" ht="14.45" x14ac:dyDescent="0.3">
      <c r="B22" s="410">
        <v>2</v>
      </c>
      <c r="C22" s="356">
        <f t="shared" ref="C22:C28" si="18">C8+D8</f>
        <v>411</v>
      </c>
      <c r="D22" s="416">
        <f t="shared" ref="D22:D29" si="19">(O8+P8)/C22</f>
        <v>136.4403892944039</v>
      </c>
      <c r="E22" s="357">
        <f t="shared" ref="E22:E28" si="20">E8+F8</f>
        <v>431</v>
      </c>
      <c r="F22" s="418">
        <f t="shared" ref="F22:F29" si="21">(Q8+R8)/E22</f>
        <v>119.75406032482599</v>
      </c>
      <c r="G22" s="418">
        <f t="shared" ref="G22:G28" si="22">E22-C22</f>
        <v>20</v>
      </c>
      <c r="H22" s="419">
        <f t="shared" si="17"/>
        <v>-16.686328969577914</v>
      </c>
    </row>
    <row r="23" spans="2:26" ht="14.45" x14ac:dyDescent="0.3">
      <c r="B23" s="410">
        <v>3</v>
      </c>
      <c r="C23" s="356">
        <f t="shared" si="18"/>
        <v>473</v>
      </c>
      <c r="D23" s="416">
        <f t="shared" si="19"/>
        <v>347.2093023255814</v>
      </c>
      <c r="E23" s="357">
        <f t="shared" si="20"/>
        <v>486</v>
      </c>
      <c r="F23" s="418">
        <f t="shared" si="21"/>
        <v>311.53086419753089</v>
      </c>
      <c r="G23" s="418">
        <f t="shared" si="22"/>
        <v>13</v>
      </c>
      <c r="H23" s="419">
        <f t="shared" si="17"/>
        <v>-35.678438128050516</v>
      </c>
    </row>
    <row r="24" spans="2:26" ht="14.45" x14ac:dyDescent="0.3">
      <c r="B24" s="411">
        <v>4</v>
      </c>
      <c r="C24" s="356">
        <f t="shared" si="18"/>
        <v>433</v>
      </c>
      <c r="D24" s="416">
        <f t="shared" si="19"/>
        <v>127.45034642032333</v>
      </c>
      <c r="E24" s="357">
        <f t="shared" si="20"/>
        <v>431</v>
      </c>
      <c r="F24" s="418">
        <f t="shared" si="21"/>
        <v>105.79118329466357</v>
      </c>
      <c r="G24" s="418">
        <f t="shared" si="22"/>
        <v>-2</v>
      </c>
      <c r="H24" s="419">
        <f t="shared" si="17"/>
        <v>-21.659163125659759</v>
      </c>
    </row>
    <row r="25" spans="2:26" ht="14.45" x14ac:dyDescent="0.3">
      <c r="B25" s="411">
        <v>5</v>
      </c>
      <c r="C25" s="356">
        <f t="shared" si="18"/>
        <v>451</v>
      </c>
      <c r="D25" s="416">
        <f t="shared" si="19"/>
        <v>123.27937915742794</v>
      </c>
      <c r="E25" s="357">
        <f t="shared" si="20"/>
        <v>456</v>
      </c>
      <c r="F25" s="418">
        <f t="shared" si="21"/>
        <v>64.026315789473685</v>
      </c>
      <c r="G25" s="418">
        <f t="shared" si="22"/>
        <v>5</v>
      </c>
      <c r="H25" s="419">
        <f t="shared" si="17"/>
        <v>-59.253063367954255</v>
      </c>
    </row>
    <row r="26" spans="2:26" ht="14.45" x14ac:dyDescent="0.3">
      <c r="B26" s="412">
        <v>6</v>
      </c>
      <c r="C26" s="356">
        <f t="shared" si="18"/>
        <v>7</v>
      </c>
      <c r="D26" s="416">
        <f t="shared" si="19"/>
        <v>89</v>
      </c>
      <c r="E26" s="357">
        <f t="shared" si="20"/>
        <v>7</v>
      </c>
      <c r="F26" s="418">
        <f t="shared" si="21"/>
        <v>90</v>
      </c>
      <c r="G26" s="418">
        <f t="shared" si="22"/>
        <v>0</v>
      </c>
      <c r="H26" s="419">
        <f t="shared" si="17"/>
        <v>1</v>
      </c>
    </row>
    <row r="27" spans="2:26" ht="14.45" x14ac:dyDescent="0.3">
      <c r="B27" s="413">
        <v>7</v>
      </c>
      <c r="C27" s="356">
        <f t="shared" si="18"/>
        <v>489</v>
      </c>
      <c r="D27" s="416">
        <f t="shared" si="19"/>
        <v>43</v>
      </c>
      <c r="E27" s="357">
        <f t="shared" si="20"/>
        <v>492</v>
      </c>
      <c r="F27" s="418">
        <f t="shared" si="21"/>
        <v>41</v>
      </c>
      <c r="G27" s="418">
        <f t="shared" si="22"/>
        <v>3</v>
      </c>
      <c r="H27" s="419">
        <f t="shared" si="17"/>
        <v>-2</v>
      </c>
    </row>
    <row r="28" spans="2:26" thickBot="1" x14ac:dyDescent="0.35">
      <c r="B28" s="414">
        <v>8</v>
      </c>
      <c r="C28" s="360">
        <f t="shared" si="18"/>
        <v>272</v>
      </c>
      <c r="D28" s="416">
        <f t="shared" si="19"/>
        <v>141.22426470588235</v>
      </c>
      <c r="E28" s="361">
        <f t="shared" si="20"/>
        <v>283</v>
      </c>
      <c r="F28" s="420">
        <f t="shared" si="21"/>
        <v>13.102473498233216</v>
      </c>
      <c r="G28" s="420">
        <f t="shared" si="22"/>
        <v>11</v>
      </c>
      <c r="H28" s="421">
        <f t="shared" si="17"/>
        <v>-128.12179120764912</v>
      </c>
    </row>
    <row r="29" spans="2:26" thickBot="1" x14ac:dyDescent="0.35">
      <c r="B29" s="364"/>
      <c r="C29" s="365">
        <f>SUM(C21:C28)</f>
        <v>3073</v>
      </c>
      <c r="D29" s="369">
        <f t="shared" si="19"/>
        <v>159.27627725349822</v>
      </c>
      <c r="E29" s="366">
        <f t="shared" ref="E29:G29" si="23">SUM(E21:E28)</f>
        <v>3155</v>
      </c>
      <c r="F29" s="369">
        <f t="shared" si="21"/>
        <v>108.34833597464342</v>
      </c>
      <c r="G29" s="369">
        <f t="shared" si="23"/>
        <v>82</v>
      </c>
      <c r="H29" s="370">
        <f t="shared" si="17"/>
        <v>-50.927941278854803</v>
      </c>
    </row>
    <row r="30" spans="2:26" ht="14.45" x14ac:dyDescent="0.3">
      <c r="C30" s="372"/>
      <c r="D30" s="372"/>
    </row>
    <row r="32" spans="2:26" x14ac:dyDescent="0.25">
      <c r="B32" s="422" t="s">
        <v>299</v>
      </c>
      <c r="C32" s="422" t="s">
        <v>289</v>
      </c>
      <c r="D32" s="422" t="s">
        <v>290</v>
      </c>
      <c r="E32" s="422" t="s">
        <v>291</v>
      </c>
      <c r="F32" s="422" t="s">
        <v>292</v>
      </c>
      <c r="G32" s="422" t="s">
        <v>293</v>
      </c>
      <c r="H32" s="422" t="s">
        <v>294</v>
      </c>
    </row>
    <row r="33" spans="2:10" x14ac:dyDescent="0.25">
      <c r="B33" s="422" t="s">
        <v>289</v>
      </c>
      <c r="C33" s="357">
        <v>0</v>
      </c>
      <c r="D33" s="357">
        <f>550</f>
        <v>550</v>
      </c>
      <c r="E33" s="473">
        <f>550+170</f>
        <v>720</v>
      </c>
      <c r="F33" s="474"/>
      <c r="G33" s="357">
        <f>550+430</f>
        <v>980</v>
      </c>
      <c r="H33" s="357">
        <f>550+430+520</f>
        <v>1500</v>
      </c>
    </row>
    <row r="34" spans="2:10" x14ac:dyDescent="0.25">
      <c r="B34" s="422" t="s">
        <v>290</v>
      </c>
      <c r="C34" s="357">
        <v>200</v>
      </c>
      <c r="D34" s="357">
        <v>0</v>
      </c>
      <c r="E34" s="473">
        <f>200+170</f>
        <v>370</v>
      </c>
      <c r="F34" s="474"/>
      <c r="G34" s="357">
        <f>200+430</f>
        <v>630</v>
      </c>
      <c r="H34" s="357">
        <f>200+430+520</f>
        <v>1150</v>
      </c>
    </row>
    <row r="35" spans="2:10" x14ac:dyDescent="0.25">
      <c r="B35" s="422" t="s">
        <v>291</v>
      </c>
      <c r="C35" s="473">
        <f>165+170</f>
        <v>335</v>
      </c>
      <c r="D35" s="474"/>
      <c r="E35" s="357">
        <v>0</v>
      </c>
      <c r="F35" s="357">
        <v>165</v>
      </c>
      <c r="G35" s="357">
        <f>165+260</f>
        <v>425</v>
      </c>
      <c r="H35" s="357">
        <f>165+260+520</f>
        <v>945</v>
      </c>
    </row>
    <row r="36" spans="2:10" x14ac:dyDescent="0.25">
      <c r="B36" s="422" t="s">
        <v>292</v>
      </c>
      <c r="C36" s="473">
        <f>125+170</f>
        <v>295</v>
      </c>
      <c r="D36" s="474"/>
      <c r="E36" s="357">
        <v>125</v>
      </c>
      <c r="F36" s="357">
        <v>0</v>
      </c>
      <c r="G36" s="357">
        <f>125+260</f>
        <v>385</v>
      </c>
      <c r="H36" s="357">
        <f>125+260+520</f>
        <v>905</v>
      </c>
    </row>
    <row r="37" spans="2:10" x14ac:dyDescent="0.25">
      <c r="B37" s="422" t="s">
        <v>293</v>
      </c>
      <c r="C37" s="473">
        <v>430</v>
      </c>
      <c r="D37" s="474"/>
      <c r="E37" s="473">
        <v>260</v>
      </c>
      <c r="F37" s="474"/>
      <c r="G37" s="357">
        <v>0</v>
      </c>
      <c r="H37" s="357">
        <v>520</v>
      </c>
    </row>
    <row r="38" spans="2:10" x14ac:dyDescent="0.25">
      <c r="B38" s="422" t="s">
        <v>294</v>
      </c>
      <c r="C38" s="473">
        <f>520+430</f>
        <v>950</v>
      </c>
      <c r="D38" s="474"/>
      <c r="E38" s="473">
        <f>520+260</f>
        <v>780</v>
      </c>
      <c r="F38" s="474"/>
      <c r="G38" s="357">
        <f>520</f>
        <v>520</v>
      </c>
      <c r="H38" s="357">
        <v>0</v>
      </c>
    </row>
    <row r="41" spans="2:10" x14ac:dyDescent="0.25">
      <c r="B41" s="422" t="s">
        <v>301</v>
      </c>
      <c r="C41" s="422" t="s">
        <v>289</v>
      </c>
      <c r="D41" s="422" t="s">
        <v>290</v>
      </c>
      <c r="E41" s="422" t="s">
        <v>291</v>
      </c>
      <c r="F41" s="422" t="s">
        <v>292</v>
      </c>
      <c r="G41" s="422" t="s">
        <v>293</v>
      </c>
      <c r="H41" s="422" t="s">
        <v>294</v>
      </c>
      <c r="I41" s="357"/>
    </row>
    <row r="42" spans="2:10" x14ac:dyDescent="0.25">
      <c r="B42" s="422" t="s">
        <v>289</v>
      </c>
      <c r="C42" s="418">
        <v>0</v>
      </c>
      <c r="D42" s="418">
        <v>330</v>
      </c>
      <c r="E42" s="478">
        <v>0</v>
      </c>
      <c r="F42" s="479"/>
      <c r="G42" s="418">
        <f>(I42-D42)*G48/(G48+H48)</f>
        <v>23.988785046728971</v>
      </c>
      <c r="H42" s="418">
        <f>I42-G42-D42</f>
        <v>183.01121495327106</v>
      </c>
      <c r="I42" s="418">
        <f>C21</f>
        <v>537</v>
      </c>
      <c r="J42" s="423">
        <f>SUM(C42:H42)</f>
        <v>537</v>
      </c>
    </row>
    <row r="43" spans="2:10" x14ac:dyDescent="0.25">
      <c r="B43" s="422" t="s">
        <v>290</v>
      </c>
      <c r="C43" s="418">
        <v>150</v>
      </c>
      <c r="D43" s="418">
        <v>0</v>
      </c>
      <c r="E43" s="478">
        <v>0</v>
      </c>
      <c r="F43" s="479"/>
      <c r="G43" s="418">
        <f>(I43-C43)*G48/(G48+H48)</f>
        <v>14.138317757009347</v>
      </c>
      <c r="H43" s="418">
        <f>I43-C43-G43</f>
        <v>107.86168224299065</v>
      </c>
      <c r="I43" s="357">
        <f>C28</f>
        <v>272</v>
      </c>
      <c r="J43" s="423">
        <f t="shared" ref="J43:J47" si="24">SUM(C43:H43)</f>
        <v>272</v>
      </c>
    </row>
    <row r="44" spans="2:10" x14ac:dyDescent="0.25">
      <c r="B44" s="422" t="s">
        <v>291</v>
      </c>
      <c r="C44" s="478">
        <f>I44-H44</f>
        <v>306.8728971962617</v>
      </c>
      <c r="D44" s="479"/>
      <c r="E44" s="418">
        <v>0</v>
      </c>
      <c r="F44" s="418">
        <v>0</v>
      </c>
      <c r="G44" s="418">
        <v>0</v>
      </c>
      <c r="H44" s="418">
        <f>H48-H42-H43</f>
        <v>182.1271028037383</v>
      </c>
      <c r="I44" s="357">
        <f>C27</f>
        <v>489</v>
      </c>
      <c r="J44" s="423">
        <f t="shared" si="24"/>
        <v>489</v>
      </c>
    </row>
    <row r="45" spans="2:10" x14ac:dyDescent="0.25">
      <c r="B45" s="422" t="s">
        <v>292</v>
      </c>
      <c r="C45" s="478">
        <f>I45</f>
        <v>7</v>
      </c>
      <c r="D45" s="479"/>
      <c r="E45" s="418">
        <v>0</v>
      </c>
      <c r="F45" s="418">
        <v>0</v>
      </c>
      <c r="G45" s="418">
        <v>0</v>
      </c>
      <c r="H45" s="418">
        <v>0</v>
      </c>
      <c r="I45" s="357">
        <f>C26</f>
        <v>7</v>
      </c>
      <c r="J45" s="423">
        <f t="shared" si="24"/>
        <v>7</v>
      </c>
    </row>
    <row r="46" spans="2:10" x14ac:dyDescent="0.25">
      <c r="B46" s="422" t="s">
        <v>293</v>
      </c>
      <c r="C46" s="478">
        <f>I46</f>
        <v>18</v>
      </c>
      <c r="D46" s="479"/>
      <c r="E46" s="478">
        <v>0</v>
      </c>
      <c r="F46" s="479"/>
      <c r="G46" s="418">
        <v>0</v>
      </c>
      <c r="H46" s="418">
        <v>0</v>
      </c>
      <c r="I46" s="357">
        <f>C25-C24</f>
        <v>18</v>
      </c>
      <c r="J46" s="423">
        <f t="shared" si="24"/>
        <v>18</v>
      </c>
    </row>
    <row r="47" spans="2:10" x14ac:dyDescent="0.25">
      <c r="B47" s="422" t="s">
        <v>294</v>
      </c>
      <c r="C47" s="478">
        <f>C25-C44-C45-C46</f>
        <v>119.1271028037383</v>
      </c>
      <c r="D47" s="479"/>
      <c r="E47" s="478">
        <f>I47-C47-G47</f>
        <v>290</v>
      </c>
      <c r="F47" s="479"/>
      <c r="G47" s="418">
        <f>G48-G42-G43-G44</f>
        <v>23.872897196261682</v>
      </c>
      <c r="H47" s="418">
        <v>0</v>
      </c>
      <c r="I47" s="357">
        <f>C24</f>
        <v>433</v>
      </c>
      <c r="J47" s="423">
        <f t="shared" si="24"/>
        <v>433</v>
      </c>
    </row>
    <row r="48" spans="2:10" x14ac:dyDescent="0.25">
      <c r="B48" s="357"/>
      <c r="C48" s="478">
        <f>C25+C43+D42</f>
        <v>931</v>
      </c>
      <c r="D48" s="479"/>
      <c r="E48" s="478">
        <f>SUM(E42:E47)</f>
        <v>290</v>
      </c>
      <c r="F48" s="479"/>
      <c r="G48" s="357">
        <f>C23-C22</f>
        <v>62</v>
      </c>
      <c r="H48" s="357">
        <f>C23</f>
        <v>473</v>
      </c>
      <c r="I48" s="357">
        <f>SUM(I42:I47)</f>
        <v>1756</v>
      </c>
      <c r="J48" s="423">
        <f>SUM(J42:J47)</f>
        <v>1756</v>
      </c>
    </row>
    <row r="49" spans="2:19" x14ac:dyDescent="0.25">
      <c r="C49" s="480">
        <f>SUM(C42:D47)</f>
        <v>931</v>
      </c>
      <c r="D49" s="480"/>
      <c r="E49" s="480">
        <f t="shared" ref="E49:H49" si="25">SUM(E42:E47)</f>
        <v>290</v>
      </c>
      <c r="F49" s="480"/>
      <c r="G49" s="423">
        <f t="shared" si="25"/>
        <v>62</v>
      </c>
      <c r="H49" s="423">
        <f t="shared" si="25"/>
        <v>473</v>
      </c>
      <c r="I49" s="423">
        <f>SUM(C49:H49)</f>
        <v>1756</v>
      </c>
    </row>
    <row r="51" spans="2:19" x14ac:dyDescent="0.25">
      <c r="B51" s="422" t="s">
        <v>304</v>
      </c>
      <c r="C51" s="422" t="s">
        <v>289</v>
      </c>
      <c r="D51" s="422" t="s">
        <v>290</v>
      </c>
      <c r="E51" s="422" t="s">
        <v>291</v>
      </c>
      <c r="F51" s="422" t="s">
        <v>292</v>
      </c>
      <c r="G51" s="422" t="s">
        <v>293</v>
      </c>
      <c r="H51" s="422" t="s">
        <v>294</v>
      </c>
      <c r="L51" s="422" t="s">
        <v>305</v>
      </c>
      <c r="M51" s="422" t="s">
        <v>289</v>
      </c>
      <c r="N51" s="422" t="s">
        <v>290</v>
      </c>
      <c r="O51" s="422" t="s">
        <v>291</v>
      </c>
      <c r="P51" s="422" t="s">
        <v>292</v>
      </c>
      <c r="Q51" s="422" t="s">
        <v>293</v>
      </c>
      <c r="R51" s="422" t="s">
        <v>294</v>
      </c>
    </row>
    <row r="52" spans="2:19" x14ac:dyDescent="0.25">
      <c r="B52" s="422" t="s">
        <v>289</v>
      </c>
      <c r="C52" s="418">
        <v>0</v>
      </c>
      <c r="D52" s="418">
        <f>D$21</f>
        <v>183.0558659217877</v>
      </c>
      <c r="E52" s="478">
        <f>D$21+D$22*170/430</f>
        <v>236.99741517771483</v>
      </c>
      <c r="F52" s="479"/>
      <c r="G52" s="418">
        <f>D$21+D$22</f>
        <v>319.49625521619157</v>
      </c>
      <c r="H52" s="418">
        <f>D$21+D$22+D$23</f>
        <v>666.70555754177303</v>
      </c>
      <c r="L52" s="422" t="s">
        <v>289</v>
      </c>
      <c r="M52" s="418">
        <v>0</v>
      </c>
      <c r="N52" s="418">
        <f>F$21</f>
        <v>69.453427065026361</v>
      </c>
      <c r="O52" s="478">
        <f>F$21+F$22*170/430</f>
        <v>116.79805556553896</v>
      </c>
      <c r="P52" s="479"/>
      <c r="Q52" s="418">
        <f>F$21+F$22</f>
        <v>189.20748738985236</v>
      </c>
      <c r="R52" s="418">
        <f>F$21+F$22+F$23</f>
        <v>500.73835158738325</v>
      </c>
    </row>
    <row r="53" spans="2:19" x14ac:dyDescent="0.25">
      <c r="B53" s="422" t="s">
        <v>290</v>
      </c>
      <c r="C53" s="418">
        <f>D$28</f>
        <v>141.22426470588235</v>
      </c>
      <c r="D53" s="418">
        <v>0</v>
      </c>
      <c r="E53" s="478">
        <f>D$28+D$22*170/430</f>
        <v>195.16581396180948</v>
      </c>
      <c r="F53" s="479"/>
      <c r="G53" s="418">
        <f>D$28+D$22</f>
        <v>277.66465400028625</v>
      </c>
      <c r="H53" s="418">
        <f>D$28+D$22+D$23</f>
        <v>624.87395632586765</v>
      </c>
      <c r="L53" s="422" t="s">
        <v>290</v>
      </c>
      <c r="M53" s="418">
        <f>F$28</f>
        <v>13.102473498233216</v>
      </c>
      <c r="N53" s="418">
        <v>0</v>
      </c>
      <c r="O53" s="478">
        <f>F$28+F$22*170/430</f>
        <v>60.447101998745822</v>
      </c>
      <c r="P53" s="479"/>
      <c r="Q53" s="418">
        <f>F$28+F$22</f>
        <v>132.85653382305921</v>
      </c>
      <c r="R53" s="418">
        <f>F$28+F$22+F$23</f>
        <v>444.38739802059013</v>
      </c>
    </row>
    <row r="54" spans="2:19" x14ac:dyDescent="0.25">
      <c r="B54" s="422" t="s">
        <v>291</v>
      </c>
      <c r="C54" s="478">
        <f>D$27+D$25*170/430</f>
        <v>91.738359201773847</v>
      </c>
      <c r="D54" s="479"/>
      <c r="E54" s="418">
        <v>0</v>
      </c>
      <c r="F54" s="418">
        <f>D$27</f>
        <v>43</v>
      </c>
      <c r="G54" s="418">
        <f>D$27+D$22*260/430</f>
        <v>125.49884003847679</v>
      </c>
      <c r="H54" s="418">
        <f>D$27+D$22*260/430+D$23</f>
        <v>472.70814236405818</v>
      </c>
      <c r="L54" s="422" t="s">
        <v>291</v>
      </c>
      <c r="M54" s="478">
        <f>F$27+F$25*170/430</f>
        <v>66.312729498164018</v>
      </c>
      <c r="N54" s="479"/>
      <c r="O54" s="418">
        <v>0</v>
      </c>
      <c r="P54" s="418">
        <f>F$27</f>
        <v>41</v>
      </c>
      <c r="Q54" s="418">
        <f>F$27+F$22*260/430</f>
        <v>113.40943182431339</v>
      </c>
      <c r="R54" s="418">
        <f>F$27+F$22*260/430+F$23</f>
        <v>424.94029602184429</v>
      </c>
    </row>
    <row r="55" spans="2:19" x14ac:dyDescent="0.25">
      <c r="B55" s="422" t="s">
        <v>292</v>
      </c>
      <c r="C55" s="478">
        <f>D$26+D$25*170/430</f>
        <v>137.73835920177385</v>
      </c>
      <c r="D55" s="479"/>
      <c r="E55" s="418">
        <f>D$26</f>
        <v>89</v>
      </c>
      <c r="F55" s="418">
        <v>0</v>
      </c>
      <c r="G55" s="418">
        <f>D$26+260/430*D$22</f>
        <v>171.49884003847677</v>
      </c>
      <c r="H55" s="418">
        <f>D$26+260/430*D$22+D$23</f>
        <v>518.70814236405818</v>
      </c>
      <c r="L55" s="422" t="s">
        <v>292</v>
      </c>
      <c r="M55" s="478">
        <f>F$26+F$25*170/430</f>
        <v>115.31272949816402</v>
      </c>
      <c r="N55" s="479"/>
      <c r="O55" s="418">
        <f>F$26</f>
        <v>90</v>
      </c>
      <c r="P55" s="418">
        <v>0</v>
      </c>
      <c r="Q55" s="418">
        <f>F$26+260/430*F$22</f>
        <v>162.4094318243134</v>
      </c>
      <c r="R55" s="418">
        <f>F$26+260/430*F$22+F$23</f>
        <v>473.94029602184429</v>
      </c>
    </row>
    <row r="56" spans="2:19" x14ac:dyDescent="0.25">
      <c r="B56" s="422" t="s">
        <v>293</v>
      </c>
      <c r="C56" s="478">
        <f>D$25</f>
        <v>123.27937915742794</v>
      </c>
      <c r="D56" s="479"/>
      <c r="E56" s="478">
        <f>260/430*D$25</f>
        <v>74.541019955654093</v>
      </c>
      <c r="F56" s="479"/>
      <c r="G56" s="418">
        <v>0</v>
      </c>
      <c r="H56" s="418">
        <f>D$23</f>
        <v>347.2093023255814</v>
      </c>
      <c r="L56" s="422" t="s">
        <v>293</v>
      </c>
      <c r="M56" s="478">
        <f>F$25</f>
        <v>64.026315789473685</v>
      </c>
      <c r="N56" s="479"/>
      <c r="O56" s="478">
        <f>260/430*F$25</f>
        <v>38.713586291309667</v>
      </c>
      <c r="P56" s="479"/>
      <c r="Q56" s="418">
        <v>0</v>
      </c>
      <c r="R56" s="418">
        <f>F$23</f>
        <v>311.53086419753089</v>
      </c>
    </row>
    <row r="57" spans="2:19" x14ac:dyDescent="0.25">
      <c r="B57" s="422" t="s">
        <v>294</v>
      </c>
      <c r="C57" s="478">
        <f>D$24+D$25</f>
        <v>250.72972557775125</v>
      </c>
      <c r="D57" s="479"/>
      <c r="E57" s="478">
        <f>D$24+260/430*D$25</f>
        <v>201.99136637597741</v>
      </c>
      <c r="F57" s="479"/>
      <c r="G57" s="418">
        <f>D$24</f>
        <v>127.45034642032333</v>
      </c>
      <c r="H57" s="418">
        <v>0</v>
      </c>
      <c r="L57" s="422" t="s">
        <v>294</v>
      </c>
      <c r="M57" s="478">
        <f>F$24+F$25</f>
        <v>169.81749908413724</v>
      </c>
      <c r="N57" s="479"/>
      <c r="O57" s="478">
        <f>F$24+260/430*F$25</f>
        <v>144.50476958597324</v>
      </c>
      <c r="P57" s="479"/>
      <c r="Q57" s="418">
        <f>F$24</f>
        <v>105.79118329466357</v>
      </c>
      <c r="R57" s="418">
        <v>0</v>
      </c>
    </row>
    <row r="59" spans="2:19" x14ac:dyDescent="0.25">
      <c r="B59" s="422" t="s">
        <v>298</v>
      </c>
      <c r="C59" s="422" t="s">
        <v>289</v>
      </c>
      <c r="D59" s="422" t="s">
        <v>290</v>
      </c>
      <c r="E59" s="422" t="s">
        <v>291</v>
      </c>
      <c r="F59" s="422" t="s">
        <v>292</v>
      </c>
      <c r="G59" s="422" t="s">
        <v>293</v>
      </c>
      <c r="H59" s="422" t="s">
        <v>294</v>
      </c>
      <c r="I59" s="357"/>
      <c r="L59" s="422" t="s">
        <v>302</v>
      </c>
      <c r="M59" s="422" t="s">
        <v>289</v>
      </c>
      <c r="N59" s="422" t="s">
        <v>290</v>
      </c>
      <c r="O59" s="422" t="s">
        <v>291</v>
      </c>
      <c r="P59" s="422" t="s">
        <v>292</v>
      </c>
      <c r="Q59" s="422" t="s">
        <v>293</v>
      </c>
      <c r="R59" s="422" t="s">
        <v>294</v>
      </c>
      <c r="S59" s="357"/>
    </row>
    <row r="60" spans="2:19" x14ac:dyDescent="0.25">
      <c r="B60" s="422" t="s">
        <v>289</v>
      </c>
      <c r="C60" s="377">
        <f>C$42*C52/3600</f>
        <v>0</v>
      </c>
      <c r="D60" s="377">
        <f>D$42*D52/3600</f>
        <v>16.780121042830537</v>
      </c>
      <c r="E60" s="481">
        <f>E$42*E52/3600</f>
        <v>0</v>
      </c>
      <c r="F60" s="482"/>
      <c r="G60" s="377">
        <f>G$42*G52/3600</f>
        <v>2.1289797193377997</v>
      </c>
      <c r="H60" s="377">
        <f>H$42*H52/3600</f>
        <v>33.892942806060518</v>
      </c>
      <c r="I60" s="377">
        <f>SUM(C60:H60)</f>
        <v>52.802043568228854</v>
      </c>
      <c r="L60" s="422" t="s">
        <v>289</v>
      </c>
      <c r="M60" s="377">
        <f t="shared" ref="M60:R60" si="26">C$42*M52/3600</f>
        <v>0</v>
      </c>
      <c r="N60" s="377">
        <f t="shared" si="26"/>
        <v>6.3665641476274164</v>
      </c>
      <c r="O60" s="481">
        <f t="shared" si="26"/>
        <v>0</v>
      </c>
      <c r="P60" s="482">
        <f t="shared" si="26"/>
        <v>0</v>
      </c>
      <c r="Q60" s="377">
        <f t="shared" si="26"/>
        <v>1.2607938178407918</v>
      </c>
      <c r="R60" s="377">
        <f t="shared" si="26"/>
        <v>25.455759471584784</v>
      </c>
      <c r="S60" s="377">
        <f>SUM(M60:R60)</f>
        <v>33.083117437052991</v>
      </c>
    </row>
    <row r="61" spans="2:19" x14ac:dyDescent="0.25">
      <c r="B61" s="422" t="s">
        <v>290</v>
      </c>
      <c r="C61" s="377">
        <f>C$43*C53/3600</f>
        <v>5.8843443627450984</v>
      </c>
      <c r="D61" s="377">
        <f>D$43*D53/3600</f>
        <v>0</v>
      </c>
      <c r="E61" s="481">
        <f>E$43*E53/3600</f>
        <v>0</v>
      </c>
      <c r="F61" s="482"/>
      <c r="G61" s="377">
        <f>G43*G53/3600</f>
        <v>1.090475307818362</v>
      </c>
      <c r="H61" s="377">
        <f>H43*H53/3600</f>
        <v>18.722210033094768</v>
      </c>
      <c r="I61" s="377">
        <f t="shared" ref="I61:I66" si="27">SUM(C61:H61)</f>
        <v>25.697029703658231</v>
      </c>
      <c r="L61" s="422" t="s">
        <v>290</v>
      </c>
      <c r="M61" s="377">
        <f t="shared" ref="M61:R61" si="28">C$43*M53/3600</f>
        <v>0.54593639575971731</v>
      </c>
      <c r="N61" s="377">
        <f t="shared" si="28"/>
        <v>0</v>
      </c>
      <c r="O61" s="481">
        <f t="shared" si="28"/>
        <v>0</v>
      </c>
      <c r="P61" s="482">
        <f t="shared" si="28"/>
        <v>0</v>
      </c>
      <c r="Q61" s="377">
        <f t="shared" si="28"/>
        <v>0.52176885869035305</v>
      </c>
      <c r="R61" s="377">
        <f t="shared" si="28"/>
        <v>13.314547866135086</v>
      </c>
      <c r="S61" s="377">
        <f t="shared" ref="S61:S66" si="29">SUM(M61:R61)</f>
        <v>14.382253120585156</v>
      </c>
    </row>
    <row r="62" spans="2:19" x14ac:dyDescent="0.25">
      <c r="B62" s="422" t="s">
        <v>291</v>
      </c>
      <c r="C62" s="481">
        <f>C$44*C54/3600</f>
        <v>7.8200044645221318</v>
      </c>
      <c r="D62" s="482"/>
      <c r="E62" s="377">
        <f>E$44*E54/3600</f>
        <v>0</v>
      </c>
      <c r="F62" s="377">
        <f>F$44*F54/3600</f>
        <v>0</v>
      </c>
      <c r="G62" s="377">
        <f>G$44*G54/3600</f>
        <v>0</v>
      </c>
      <c r="H62" s="377">
        <f>H$44*H54/3600</f>
        <v>23.914712344584164</v>
      </c>
      <c r="I62" s="377">
        <f t="shared" si="27"/>
        <v>31.734716809106295</v>
      </c>
      <c r="L62" s="422" t="s">
        <v>291</v>
      </c>
      <c r="M62" s="481">
        <f>C$44*M54/3600</f>
        <v>5.6526609505815548</v>
      </c>
      <c r="N62" s="482"/>
      <c r="O62" s="377">
        <f>E$44*O54/3600</f>
        <v>0</v>
      </c>
      <c r="P62" s="377">
        <f>F$44*P54/3600</f>
        <v>0</v>
      </c>
      <c r="Q62" s="377">
        <f>G$44*Q54/3600</f>
        <v>0</v>
      </c>
      <c r="R62" s="377">
        <f>H$44*R54/3600</f>
        <v>21.498095827505953</v>
      </c>
      <c r="S62" s="377">
        <f t="shared" si="29"/>
        <v>27.150756778087509</v>
      </c>
    </row>
    <row r="63" spans="2:19" x14ac:dyDescent="0.25">
      <c r="B63" s="422" t="s">
        <v>292</v>
      </c>
      <c r="C63" s="481">
        <f>C$45*C55/3600</f>
        <v>0.26782458733678249</v>
      </c>
      <c r="D63" s="482"/>
      <c r="E63" s="377">
        <f>E$45*E55/3600</f>
        <v>0</v>
      </c>
      <c r="F63" s="377">
        <f>F$45*F55/3600</f>
        <v>0</v>
      </c>
      <c r="G63" s="377">
        <f>G$45*G55/3600</f>
        <v>0</v>
      </c>
      <c r="H63" s="377">
        <f>H$45*H55/3600</f>
        <v>0</v>
      </c>
      <c r="I63" s="377">
        <f t="shared" si="27"/>
        <v>0.26782458733678249</v>
      </c>
      <c r="L63" s="422" t="s">
        <v>292</v>
      </c>
      <c r="M63" s="481">
        <f>C$45*M55/3600</f>
        <v>0.22421919624643002</v>
      </c>
      <c r="N63" s="482"/>
      <c r="O63" s="377">
        <f>E$45*O55/3600</f>
        <v>0</v>
      </c>
      <c r="P63" s="377">
        <f>F$45*P55/3600</f>
        <v>0</v>
      </c>
      <c r="Q63" s="377">
        <f>G$45*Q55/3600</f>
        <v>0</v>
      </c>
      <c r="R63" s="377">
        <f>H$45*R55/3600</f>
        <v>0</v>
      </c>
      <c r="S63" s="377">
        <f t="shared" si="29"/>
        <v>0.22421919624643002</v>
      </c>
    </row>
    <row r="64" spans="2:19" x14ac:dyDescent="0.25">
      <c r="B64" s="422" t="s">
        <v>293</v>
      </c>
      <c r="C64" s="481">
        <f>C$46*C56/3600</f>
        <v>0.61639689578713963</v>
      </c>
      <c r="D64" s="482"/>
      <c r="E64" s="481">
        <f>E$46*E56/3600</f>
        <v>0</v>
      </c>
      <c r="F64" s="482"/>
      <c r="G64" s="377">
        <f>G$46*G56/3600</f>
        <v>0</v>
      </c>
      <c r="H64" s="377">
        <f>H$46*H56/3600</f>
        <v>0</v>
      </c>
      <c r="I64" s="377">
        <f t="shared" si="27"/>
        <v>0.61639689578713963</v>
      </c>
      <c r="L64" s="422" t="s">
        <v>293</v>
      </c>
      <c r="M64" s="481">
        <f>C$46*M56/3600</f>
        <v>0.32013157894736838</v>
      </c>
      <c r="N64" s="482"/>
      <c r="O64" s="481">
        <f>E$46*O56/3600</f>
        <v>0</v>
      </c>
      <c r="P64" s="482"/>
      <c r="Q64" s="481">
        <f>G$46*Q56/3600</f>
        <v>0</v>
      </c>
      <c r="R64" s="482"/>
      <c r="S64" s="377">
        <f t="shared" si="29"/>
        <v>0.32013157894736838</v>
      </c>
    </row>
    <row r="65" spans="2:20" x14ac:dyDescent="0.25">
      <c r="B65" s="422" t="s">
        <v>294</v>
      </c>
      <c r="C65" s="481">
        <f>C$47*C57/3600</f>
        <v>8.2968627207927401</v>
      </c>
      <c r="D65" s="482"/>
      <c r="E65" s="481">
        <f>E$47*E57/3600</f>
        <v>16.271526735842624</v>
      </c>
      <c r="F65" s="482"/>
      <c r="G65" s="377">
        <f>G$47*G57/3600</f>
        <v>0.84516917158897686</v>
      </c>
      <c r="H65" s="377">
        <f>H$47*H57/3600</f>
        <v>0</v>
      </c>
      <c r="I65" s="377">
        <f t="shared" si="27"/>
        <v>25.413558628224344</v>
      </c>
      <c r="L65" s="422" t="s">
        <v>294</v>
      </c>
      <c r="M65" s="481">
        <f>C$47*M57/3600</f>
        <v>5.6194074086860422</v>
      </c>
      <c r="N65" s="482"/>
      <c r="O65" s="481">
        <f>E$47*O57/3600</f>
        <v>11.640661994425621</v>
      </c>
      <c r="P65" s="482"/>
      <c r="Q65" s="481">
        <f>G$47*Q57/3600</f>
        <v>0.70153945640677218</v>
      </c>
      <c r="R65" s="482"/>
      <c r="S65" s="377">
        <f t="shared" si="29"/>
        <v>17.961608859518435</v>
      </c>
    </row>
    <row r="66" spans="2:20" x14ac:dyDescent="0.25">
      <c r="B66" s="357"/>
      <c r="C66" s="481">
        <f>SUM(C60:D65)</f>
        <v>39.66555407401443</v>
      </c>
      <c r="D66" s="482"/>
      <c r="E66" s="377">
        <f t="shared" ref="E66:H66" si="30">SUM(E60:E65)</f>
        <v>16.271526735842624</v>
      </c>
      <c r="F66" s="377">
        <f t="shared" si="30"/>
        <v>0</v>
      </c>
      <c r="G66" s="377">
        <f t="shared" si="30"/>
        <v>4.0646241987451388</v>
      </c>
      <c r="H66" s="377">
        <f t="shared" si="30"/>
        <v>76.529865183739446</v>
      </c>
      <c r="I66" s="377">
        <f t="shared" si="27"/>
        <v>136.53157019234163</v>
      </c>
      <c r="L66" s="357"/>
      <c r="M66" s="481">
        <f>SUM(M60:N65)</f>
        <v>18.728919677848531</v>
      </c>
      <c r="N66" s="482"/>
      <c r="O66" s="377">
        <f t="shared" ref="O66:R66" si="31">SUM(O60:O65)</f>
        <v>11.640661994425621</v>
      </c>
      <c r="P66" s="377">
        <f t="shared" si="31"/>
        <v>0</v>
      </c>
      <c r="Q66" s="377">
        <f t="shared" si="31"/>
        <v>2.4841021329379172</v>
      </c>
      <c r="R66" s="377">
        <f t="shared" si="31"/>
        <v>60.26840316522582</v>
      </c>
      <c r="S66" s="377">
        <f t="shared" si="29"/>
        <v>93.122086970437891</v>
      </c>
    </row>
    <row r="67" spans="2:20" x14ac:dyDescent="0.25">
      <c r="J67" s="377">
        <f>U17</f>
        <v>135.96</v>
      </c>
      <c r="T67" s="377">
        <f>W17</f>
        <v>94.955277777777766</v>
      </c>
    </row>
    <row r="69" spans="2:20" x14ac:dyDescent="0.25">
      <c r="B69" s="422" t="s">
        <v>303</v>
      </c>
      <c r="C69" s="422" t="s">
        <v>289</v>
      </c>
      <c r="D69" s="422" t="s">
        <v>290</v>
      </c>
      <c r="E69" s="422" t="s">
        <v>291</v>
      </c>
      <c r="F69" s="422" t="s">
        <v>292</v>
      </c>
      <c r="G69" s="422" t="s">
        <v>293</v>
      </c>
      <c r="H69" s="422" t="s">
        <v>294</v>
      </c>
      <c r="I69" s="357"/>
    </row>
    <row r="70" spans="2:20" x14ac:dyDescent="0.25">
      <c r="B70" s="422" t="s">
        <v>289</v>
      </c>
      <c r="C70" s="377">
        <f>C42*C33/1000</f>
        <v>0</v>
      </c>
      <c r="D70" s="377">
        <f t="shared" ref="D70:H70" si="32">D42*D33/1000</f>
        <v>181.5</v>
      </c>
      <c r="E70" s="481">
        <f t="shared" si="32"/>
        <v>0</v>
      </c>
      <c r="F70" s="482">
        <f t="shared" si="32"/>
        <v>0</v>
      </c>
      <c r="G70" s="377">
        <f t="shared" si="32"/>
        <v>23.509009345794393</v>
      </c>
      <c r="H70" s="377">
        <f t="shared" si="32"/>
        <v>274.5168224299066</v>
      </c>
      <c r="I70" s="377">
        <f>SUM(C70:H70)</f>
        <v>479.52583177570102</v>
      </c>
    </row>
    <row r="71" spans="2:20" x14ac:dyDescent="0.25">
      <c r="B71" s="422" t="s">
        <v>290</v>
      </c>
      <c r="C71" s="377">
        <f t="shared" ref="C71:H75" si="33">C43*C34/1000</f>
        <v>30</v>
      </c>
      <c r="D71" s="377">
        <f t="shared" si="33"/>
        <v>0</v>
      </c>
      <c r="E71" s="481">
        <f t="shared" si="33"/>
        <v>0</v>
      </c>
      <c r="F71" s="482">
        <f t="shared" si="33"/>
        <v>0</v>
      </c>
      <c r="G71" s="377">
        <f t="shared" si="33"/>
        <v>8.907140186915889</v>
      </c>
      <c r="H71" s="377">
        <f t="shared" si="33"/>
        <v>124.04093457943925</v>
      </c>
      <c r="I71" s="377">
        <f t="shared" ref="I71:I76" si="34">SUM(C71:H71)</f>
        <v>162.94807476635515</v>
      </c>
    </row>
    <row r="72" spans="2:20" x14ac:dyDescent="0.25">
      <c r="B72" s="422" t="s">
        <v>291</v>
      </c>
      <c r="C72" s="481">
        <f t="shared" si="33"/>
        <v>102.80242056074768</v>
      </c>
      <c r="D72" s="482">
        <f t="shared" si="33"/>
        <v>0</v>
      </c>
      <c r="E72" s="377">
        <f t="shared" si="33"/>
        <v>0</v>
      </c>
      <c r="F72" s="377">
        <f t="shared" si="33"/>
        <v>0</v>
      </c>
      <c r="G72" s="377">
        <f t="shared" si="33"/>
        <v>0</v>
      </c>
      <c r="H72" s="377">
        <f t="shared" si="33"/>
        <v>172.11011214953268</v>
      </c>
      <c r="I72" s="377">
        <f t="shared" si="34"/>
        <v>274.91253271028035</v>
      </c>
    </row>
    <row r="73" spans="2:20" x14ac:dyDescent="0.25">
      <c r="B73" s="422" t="s">
        <v>292</v>
      </c>
      <c r="C73" s="481">
        <f t="shared" si="33"/>
        <v>2.0649999999999999</v>
      </c>
      <c r="D73" s="482">
        <f t="shared" si="33"/>
        <v>0</v>
      </c>
      <c r="E73" s="377">
        <f t="shared" si="33"/>
        <v>0</v>
      </c>
      <c r="F73" s="377">
        <f t="shared" si="33"/>
        <v>0</v>
      </c>
      <c r="G73" s="377">
        <f t="shared" si="33"/>
        <v>0</v>
      </c>
      <c r="H73" s="377">
        <f t="shared" si="33"/>
        <v>0</v>
      </c>
      <c r="I73" s="377">
        <f t="shared" si="34"/>
        <v>2.0649999999999999</v>
      </c>
    </row>
    <row r="74" spans="2:20" x14ac:dyDescent="0.25">
      <c r="B74" s="422" t="s">
        <v>293</v>
      </c>
      <c r="C74" s="481">
        <f t="shared" si="33"/>
        <v>7.74</v>
      </c>
      <c r="D74" s="482">
        <f t="shared" si="33"/>
        <v>0</v>
      </c>
      <c r="E74" s="481">
        <f t="shared" si="33"/>
        <v>0</v>
      </c>
      <c r="F74" s="482">
        <f t="shared" si="33"/>
        <v>0</v>
      </c>
      <c r="G74" s="377">
        <f t="shared" si="33"/>
        <v>0</v>
      </c>
      <c r="H74" s="377">
        <f t="shared" si="33"/>
        <v>0</v>
      </c>
      <c r="I74" s="377">
        <f t="shared" si="34"/>
        <v>7.74</v>
      </c>
    </row>
    <row r="75" spans="2:20" x14ac:dyDescent="0.25">
      <c r="B75" s="422" t="s">
        <v>294</v>
      </c>
      <c r="C75" s="481">
        <f t="shared" si="33"/>
        <v>113.1707476635514</v>
      </c>
      <c r="D75" s="482">
        <f t="shared" si="33"/>
        <v>0</v>
      </c>
      <c r="E75" s="481">
        <f t="shared" si="33"/>
        <v>226.2</v>
      </c>
      <c r="F75" s="482">
        <f t="shared" si="33"/>
        <v>0</v>
      </c>
      <c r="G75" s="377">
        <f t="shared" si="33"/>
        <v>12.413906542056075</v>
      </c>
      <c r="H75" s="377">
        <f t="shared" si="33"/>
        <v>0</v>
      </c>
      <c r="I75" s="377">
        <f t="shared" si="34"/>
        <v>351.78465420560741</v>
      </c>
    </row>
    <row r="76" spans="2:20" x14ac:dyDescent="0.25">
      <c r="B76" s="357"/>
      <c r="C76" s="481">
        <f>SUM(C70:D75)</f>
        <v>437.27816822429907</v>
      </c>
      <c r="D76" s="482"/>
      <c r="E76" s="377">
        <f t="shared" ref="E76:H76" si="35">SUM(E70:E75)</f>
        <v>226.2</v>
      </c>
      <c r="F76" s="377">
        <f t="shared" si="35"/>
        <v>0</v>
      </c>
      <c r="G76" s="377">
        <f t="shared" si="35"/>
        <v>44.830056074766354</v>
      </c>
      <c r="H76" s="377">
        <f t="shared" si="35"/>
        <v>570.66786915887849</v>
      </c>
      <c r="I76" s="377">
        <f t="shared" si="34"/>
        <v>1278.976093457944</v>
      </c>
    </row>
  </sheetData>
  <mergeCells count="90">
    <mergeCell ref="C75:D75"/>
    <mergeCell ref="E75:F75"/>
    <mergeCell ref="C76:D76"/>
    <mergeCell ref="E70:F70"/>
    <mergeCell ref="E71:F71"/>
    <mergeCell ref="C72:D72"/>
    <mergeCell ref="C73:D73"/>
    <mergeCell ref="C74:D74"/>
    <mergeCell ref="E74:F74"/>
    <mergeCell ref="E65:F65"/>
    <mergeCell ref="M65:N65"/>
    <mergeCell ref="O65:P65"/>
    <mergeCell ref="Q65:R65"/>
    <mergeCell ref="C66:D66"/>
    <mergeCell ref="M66:N66"/>
    <mergeCell ref="M62:N62"/>
    <mergeCell ref="M63:N63"/>
    <mergeCell ref="M64:N64"/>
    <mergeCell ref="O64:P64"/>
    <mergeCell ref="Q64:R64"/>
    <mergeCell ref="M57:N57"/>
    <mergeCell ref="O57:P57"/>
    <mergeCell ref="O60:P60"/>
    <mergeCell ref="E61:F61"/>
    <mergeCell ref="O61:P61"/>
    <mergeCell ref="E60:F60"/>
    <mergeCell ref="O52:P52"/>
    <mergeCell ref="O53:P53"/>
    <mergeCell ref="M54:N54"/>
    <mergeCell ref="M55:N55"/>
    <mergeCell ref="M56:N56"/>
    <mergeCell ref="O56:P56"/>
    <mergeCell ref="E64:F64"/>
    <mergeCell ref="E43:F43"/>
    <mergeCell ref="E47:F47"/>
    <mergeCell ref="E48:F48"/>
    <mergeCell ref="E52:F52"/>
    <mergeCell ref="E57:F57"/>
    <mergeCell ref="C64:D64"/>
    <mergeCell ref="C65:D65"/>
    <mergeCell ref="E33:F33"/>
    <mergeCell ref="E34:F34"/>
    <mergeCell ref="E37:F37"/>
    <mergeCell ref="E38:F38"/>
    <mergeCell ref="E42:F42"/>
    <mergeCell ref="E46:F46"/>
    <mergeCell ref="E49:F49"/>
    <mergeCell ref="E53:F53"/>
    <mergeCell ref="E56:F56"/>
    <mergeCell ref="C55:D55"/>
    <mergeCell ref="C56:D56"/>
    <mergeCell ref="C62:D62"/>
    <mergeCell ref="C63:D63"/>
    <mergeCell ref="C57:D57"/>
    <mergeCell ref="C46:D46"/>
    <mergeCell ref="C54:D54"/>
    <mergeCell ref="C47:D47"/>
    <mergeCell ref="C48:D48"/>
    <mergeCell ref="C49:D49"/>
    <mergeCell ref="C37:D37"/>
    <mergeCell ref="C38:D38"/>
    <mergeCell ref="C44:D44"/>
    <mergeCell ref="C45:D45"/>
    <mergeCell ref="U17:V17"/>
    <mergeCell ref="B18:B20"/>
    <mergeCell ref="C18:H18"/>
    <mergeCell ref="C19:D19"/>
    <mergeCell ref="E19:F19"/>
    <mergeCell ref="G19:H19"/>
    <mergeCell ref="S5:T5"/>
    <mergeCell ref="W17:X17"/>
    <mergeCell ref="Y17:Z17"/>
    <mergeCell ref="C35:D35"/>
    <mergeCell ref="C36:D36"/>
    <mergeCell ref="U4:Z4"/>
    <mergeCell ref="U5:V5"/>
    <mergeCell ref="W5:X5"/>
    <mergeCell ref="Y5:Z5"/>
    <mergeCell ref="B4:B6"/>
    <mergeCell ref="C4:H4"/>
    <mergeCell ref="I4:N4"/>
    <mergeCell ref="O4:T4"/>
    <mergeCell ref="C5:D5"/>
    <mergeCell ref="E5:F5"/>
    <mergeCell ref="G5:H5"/>
    <mergeCell ref="I5:J5"/>
    <mergeCell ref="K5:L5"/>
    <mergeCell ref="M5:N5"/>
    <mergeCell ref="O5:P5"/>
    <mergeCell ref="Q5:R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6"/>
  <sheetViews>
    <sheetView zoomScale="85" zoomScaleNormal="85" workbookViewId="0">
      <selection activeCell="J29" sqref="J29"/>
    </sheetView>
  </sheetViews>
  <sheetFormatPr defaultRowHeight="15" x14ac:dyDescent="0.25"/>
  <cols>
    <col min="1" max="1" width="4.7109375" customWidth="1"/>
    <col min="2" max="2" width="13.28515625" customWidth="1"/>
    <col min="4" max="4" width="9.5703125" bestFit="1" customWidth="1"/>
    <col min="12" max="12" width="16" customWidth="1"/>
  </cols>
  <sheetData>
    <row r="1" spans="2:26" ht="14.45" x14ac:dyDescent="0.3">
      <c r="B1" s="408" t="str">
        <f>Cost_Estimate!C2</f>
        <v>Chesterfield Road - Heeley Bridge / Broadfield Road</v>
      </c>
    </row>
    <row r="2" spans="2:26" thickBot="1" x14ac:dyDescent="0.35"/>
    <row r="3" spans="2:26" hidden="1" thickBot="1" x14ac:dyDescent="0.35"/>
    <row r="4" spans="2:26" ht="14.45" hidden="1" x14ac:dyDescent="0.3">
      <c r="B4" s="467" t="s">
        <v>241</v>
      </c>
      <c r="C4" s="461" t="s">
        <v>242</v>
      </c>
      <c r="D4" s="462"/>
      <c r="E4" s="462"/>
      <c r="F4" s="462"/>
      <c r="G4" s="462"/>
      <c r="H4" s="463"/>
      <c r="I4" s="470" t="s">
        <v>243</v>
      </c>
      <c r="J4" s="462"/>
      <c r="K4" s="462"/>
      <c r="L4" s="462"/>
      <c r="M4" s="462"/>
      <c r="N4" s="463"/>
      <c r="O4" s="470" t="s">
        <v>287</v>
      </c>
      <c r="P4" s="462"/>
      <c r="Q4" s="462"/>
      <c r="R4" s="462"/>
      <c r="S4" s="462"/>
      <c r="T4" s="463"/>
      <c r="U4" s="461" t="s">
        <v>288</v>
      </c>
      <c r="V4" s="462"/>
      <c r="W4" s="462"/>
      <c r="X4" s="462"/>
      <c r="Y4" s="462"/>
      <c r="Z4" s="463"/>
    </row>
    <row r="5" spans="2:26" ht="14.45" hidden="1" x14ac:dyDescent="0.3">
      <c r="B5" s="468"/>
      <c r="C5" s="464" t="s">
        <v>244</v>
      </c>
      <c r="D5" s="465"/>
      <c r="E5" s="465" t="s">
        <v>245</v>
      </c>
      <c r="F5" s="465"/>
      <c r="G5" s="465" t="s">
        <v>246</v>
      </c>
      <c r="H5" s="466"/>
      <c r="I5" s="471" t="s">
        <v>244</v>
      </c>
      <c r="J5" s="465"/>
      <c r="K5" s="465" t="s">
        <v>245</v>
      </c>
      <c r="L5" s="465"/>
      <c r="M5" s="465" t="s">
        <v>246</v>
      </c>
      <c r="N5" s="466"/>
      <c r="O5" s="471"/>
      <c r="P5" s="465"/>
      <c r="Q5" s="465" t="s">
        <v>245</v>
      </c>
      <c r="R5" s="465"/>
      <c r="S5" s="465" t="s">
        <v>246</v>
      </c>
      <c r="T5" s="466"/>
      <c r="U5" s="464" t="s">
        <v>244</v>
      </c>
      <c r="V5" s="465"/>
      <c r="W5" s="465" t="s">
        <v>245</v>
      </c>
      <c r="X5" s="465"/>
      <c r="Y5" s="465" t="s">
        <v>246</v>
      </c>
      <c r="Z5" s="466"/>
    </row>
    <row r="6" spans="2:26" hidden="1" thickBot="1" x14ac:dyDescent="0.35">
      <c r="B6" s="469"/>
      <c r="C6" s="348" t="s">
        <v>92</v>
      </c>
      <c r="D6" s="349" t="s">
        <v>90</v>
      </c>
      <c r="E6" s="349" t="s">
        <v>92</v>
      </c>
      <c r="F6" s="349" t="s">
        <v>90</v>
      </c>
      <c r="G6" s="349" t="s">
        <v>92</v>
      </c>
      <c r="H6" s="350" t="s">
        <v>90</v>
      </c>
      <c r="I6" s="351" t="s">
        <v>92</v>
      </c>
      <c r="J6" s="349" t="s">
        <v>90</v>
      </c>
      <c r="K6" s="349" t="s">
        <v>92</v>
      </c>
      <c r="L6" s="349" t="s">
        <v>90</v>
      </c>
      <c r="M6" s="349" t="s">
        <v>92</v>
      </c>
      <c r="N6" s="350" t="s">
        <v>90</v>
      </c>
      <c r="O6" s="351" t="s">
        <v>92</v>
      </c>
      <c r="P6" s="349" t="s">
        <v>90</v>
      </c>
      <c r="Q6" s="349" t="s">
        <v>92</v>
      </c>
      <c r="R6" s="349" t="s">
        <v>90</v>
      </c>
      <c r="S6" s="349" t="s">
        <v>92</v>
      </c>
      <c r="T6" s="350" t="s">
        <v>90</v>
      </c>
      <c r="U6" s="348" t="s">
        <v>92</v>
      </c>
      <c r="V6" s="349" t="s">
        <v>90</v>
      </c>
      <c r="W6" s="349" t="s">
        <v>92</v>
      </c>
      <c r="X6" s="349" t="s">
        <v>90</v>
      </c>
      <c r="Y6" s="349" t="s">
        <v>92</v>
      </c>
      <c r="Z6" s="350" t="s">
        <v>90</v>
      </c>
    </row>
    <row r="7" spans="2:26" ht="14.45" hidden="1" x14ac:dyDescent="0.3">
      <c r="B7" s="409">
        <v>1</v>
      </c>
      <c r="C7" s="352">
        <v>510</v>
      </c>
      <c r="D7" s="353">
        <v>27</v>
      </c>
      <c r="E7" s="353">
        <v>540</v>
      </c>
      <c r="F7" s="353">
        <v>29</v>
      </c>
      <c r="G7" s="353">
        <f>E7-C7</f>
        <v>30</v>
      </c>
      <c r="H7" s="354">
        <f t="shared" ref="H7:H14" si="0">F7-D7</f>
        <v>2</v>
      </c>
      <c r="I7" s="355">
        <v>182</v>
      </c>
      <c r="J7" s="353">
        <v>203</v>
      </c>
      <c r="K7" s="353">
        <v>64</v>
      </c>
      <c r="L7" s="353">
        <v>171</v>
      </c>
      <c r="M7" s="353">
        <f>K7-I7</f>
        <v>-118</v>
      </c>
      <c r="N7" s="354">
        <f t="shared" ref="N7:N15" si="1">L7-J7</f>
        <v>-32</v>
      </c>
      <c r="O7" s="355">
        <f>C7*I7</f>
        <v>92820</v>
      </c>
      <c r="P7" s="355">
        <f t="shared" ref="P7:R14" si="2">D7*J7</f>
        <v>5481</v>
      </c>
      <c r="Q7" s="355">
        <f t="shared" si="2"/>
        <v>34560</v>
      </c>
      <c r="R7" s="355">
        <f t="shared" si="2"/>
        <v>4959</v>
      </c>
      <c r="S7" s="353">
        <f>Q7-O7</f>
        <v>-58260</v>
      </c>
      <c r="T7" s="354">
        <f t="shared" ref="T7:T14" si="3">R7-P7</f>
        <v>-522</v>
      </c>
      <c r="U7" s="373">
        <f t="shared" ref="U7:X14" si="4">O7/60</f>
        <v>1547</v>
      </c>
      <c r="V7" s="374">
        <f t="shared" si="4"/>
        <v>91.35</v>
      </c>
      <c r="W7" s="374">
        <f t="shared" si="4"/>
        <v>576</v>
      </c>
      <c r="X7" s="374">
        <f t="shared" si="4"/>
        <v>82.65</v>
      </c>
      <c r="Y7" s="375">
        <f>W7-U7</f>
        <v>-971</v>
      </c>
      <c r="Z7" s="376">
        <f t="shared" ref="Z7:Z14" si="5">X7-V7</f>
        <v>-8.6999999999999886</v>
      </c>
    </row>
    <row r="8" spans="2:26" ht="14.45" hidden="1" x14ac:dyDescent="0.3">
      <c r="B8" s="410">
        <v>2</v>
      </c>
      <c r="C8" s="356">
        <v>394</v>
      </c>
      <c r="D8" s="357">
        <v>17</v>
      </c>
      <c r="E8" s="357">
        <v>413</v>
      </c>
      <c r="F8" s="357">
        <v>18</v>
      </c>
      <c r="G8" s="357">
        <f t="shared" ref="G8:G14" si="6">E8-C8</f>
        <v>19</v>
      </c>
      <c r="H8" s="358">
        <f t="shared" si="0"/>
        <v>1</v>
      </c>
      <c r="I8" s="359">
        <v>134</v>
      </c>
      <c r="J8" s="357">
        <v>193</v>
      </c>
      <c r="K8" s="357">
        <v>118</v>
      </c>
      <c r="L8" s="357">
        <v>160</v>
      </c>
      <c r="M8" s="357">
        <f t="shared" ref="M8:M15" si="7">K8-I8</f>
        <v>-16</v>
      </c>
      <c r="N8" s="358">
        <f t="shared" si="1"/>
        <v>-33</v>
      </c>
      <c r="O8" s="355">
        <f t="shared" ref="O8:O14" si="8">C8*I8</f>
        <v>52796</v>
      </c>
      <c r="P8" s="355">
        <f t="shared" si="2"/>
        <v>3281</v>
      </c>
      <c r="Q8" s="355">
        <f t="shared" si="2"/>
        <v>48734</v>
      </c>
      <c r="R8" s="355">
        <f t="shared" si="2"/>
        <v>2880</v>
      </c>
      <c r="S8" s="357">
        <f t="shared" ref="S8:S14" si="9">Q8-O8</f>
        <v>-4062</v>
      </c>
      <c r="T8" s="358">
        <f t="shared" si="3"/>
        <v>-401</v>
      </c>
      <c r="U8" s="373">
        <f t="shared" si="4"/>
        <v>879.93333333333328</v>
      </c>
      <c r="V8" s="374">
        <f t="shared" si="4"/>
        <v>54.68333333333333</v>
      </c>
      <c r="W8" s="374">
        <f t="shared" si="4"/>
        <v>812.23333333333335</v>
      </c>
      <c r="X8" s="374">
        <f t="shared" si="4"/>
        <v>48</v>
      </c>
      <c r="Y8" s="377">
        <f t="shared" ref="Y8:Y14" si="10">W8-U8</f>
        <v>-67.699999999999932</v>
      </c>
      <c r="Z8" s="378">
        <f t="shared" si="5"/>
        <v>-6.68333333333333</v>
      </c>
    </row>
    <row r="9" spans="2:26" ht="14.45" hidden="1" x14ac:dyDescent="0.3">
      <c r="B9" s="410">
        <v>3</v>
      </c>
      <c r="C9" s="356">
        <v>458</v>
      </c>
      <c r="D9" s="357">
        <v>15</v>
      </c>
      <c r="E9" s="357">
        <v>470</v>
      </c>
      <c r="F9" s="357">
        <v>16</v>
      </c>
      <c r="G9" s="357">
        <f t="shared" si="6"/>
        <v>12</v>
      </c>
      <c r="H9" s="358">
        <f t="shared" si="0"/>
        <v>1</v>
      </c>
      <c r="I9" s="359">
        <v>350</v>
      </c>
      <c r="J9" s="357">
        <v>262</v>
      </c>
      <c r="K9" s="357">
        <v>314</v>
      </c>
      <c r="L9" s="357">
        <v>239</v>
      </c>
      <c r="M9" s="357">
        <f t="shared" si="7"/>
        <v>-36</v>
      </c>
      <c r="N9" s="358">
        <f t="shared" si="1"/>
        <v>-23</v>
      </c>
      <c r="O9" s="355">
        <f t="shared" si="8"/>
        <v>160300</v>
      </c>
      <c r="P9" s="355">
        <f t="shared" si="2"/>
        <v>3930</v>
      </c>
      <c r="Q9" s="355">
        <f t="shared" si="2"/>
        <v>147580</v>
      </c>
      <c r="R9" s="355">
        <f t="shared" si="2"/>
        <v>3824</v>
      </c>
      <c r="S9" s="357">
        <f t="shared" si="9"/>
        <v>-12720</v>
      </c>
      <c r="T9" s="358">
        <f t="shared" si="3"/>
        <v>-106</v>
      </c>
      <c r="U9" s="373">
        <f t="shared" si="4"/>
        <v>2671.6666666666665</v>
      </c>
      <c r="V9" s="374">
        <f t="shared" si="4"/>
        <v>65.5</v>
      </c>
      <c r="W9" s="374">
        <f t="shared" si="4"/>
        <v>2459.6666666666665</v>
      </c>
      <c r="X9" s="374">
        <f t="shared" si="4"/>
        <v>63.733333333333334</v>
      </c>
      <c r="Y9" s="377">
        <f t="shared" si="10"/>
        <v>-212</v>
      </c>
      <c r="Z9" s="378">
        <f t="shared" si="5"/>
        <v>-1.7666666666666657</v>
      </c>
    </row>
    <row r="10" spans="2:26" ht="14.45" hidden="1" x14ac:dyDescent="0.3">
      <c r="B10" s="411">
        <v>4</v>
      </c>
      <c r="C10" s="356">
        <v>415</v>
      </c>
      <c r="D10" s="357">
        <v>18</v>
      </c>
      <c r="E10" s="357">
        <v>412</v>
      </c>
      <c r="F10" s="357">
        <v>19</v>
      </c>
      <c r="G10" s="357">
        <f t="shared" si="6"/>
        <v>-3</v>
      </c>
      <c r="H10" s="358">
        <f t="shared" si="0"/>
        <v>1</v>
      </c>
      <c r="I10" s="359">
        <v>124</v>
      </c>
      <c r="J10" s="357">
        <v>207</v>
      </c>
      <c r="K10" s="357">
        <v>102</v>
      </c>
      <c r="L10" s="357">
        <v>188</v>
      </c>
      <c r="M10" s="357">
        <f t="shared" si="7"/>
        <v>-22</v>
      </c>
      <c r="N10" s="358">
        <f t="shared" si="1"/>
        <v>-19</v>
      </c>
      <c r="O10" s="355">
        <f t="shared" si="8"/>
        <v>51460</v>
      </c>
      <c r="P10" s="355">
        <f t="shared" si="2"/>
        <v>3726</v>
      </c>
      <c r="Q10" s="355">
        <f t="shared" si="2"/>
        <v>42024</v>
      </c>
      <c r="R10" s="355">
        <f t="shared" si="2"/>
        <v>3572</v>
      </c>
      <c r="S10" s="357">
        <f t="shared" si="9"/>
        <v>-9436</v>
      </c>
      <c r="T10" s="358">
        <f t="shared" si="3"/>
        <v>-154</v>
      </c>
      <c r="U10" s="373">
        <f t="shared" si="4"/>
        <v>857.66666666666663</v>
      </c>
      <c r="V10" s="374">
        <f t="shared" si="4"/>
        <v>62.1</v>
      </c>
      <c r="W10" s="374">
        <f t="shared" si="4"/>
        <v>700.4</v>
      </c>
      <c r="X10" s="374">
        <f t="shared" si="4"/>
        <v>59.533333333333331</v>
      </c>
      <c r="Y10" s="377">
        <f t="shared" si="10"/>
        <v>-157.26666666666665</v>
      </c>
      <c r="Z10" s="378">
        <f t="shared" si="5"/>
        <v>-2.56666666666667</v>
      </c>
    </row>
    <row r="11" spans="2:26" ht="14.45" hidden="1" x14ac:dyDescent="0.3">
      <c r="B11" s="411">
        <v>5</v>
      </c>
      <c r="C11" s="356">
        <v>433</v>
      </c>
      <c r="D11" s="357">
        <v>18</v>
      </c>
      <c r="E11" s="357">
        <v>438</v>
      </c>
      <c r="F11" s="357">
        <v>18</v>
      </c>
      <c r="G11" s="357">
        <f t="shared" si="6"/>
        <v>5</v>
      </c>
      <c r="H11" s="358">
        <f t="shared" si="0"/>
        <v>0</v>
      </c>
      <c r="I11" s="359">
        <v>123</v>
      </c>
      <c r="J11" s="357">
        <v>130</v>
      </c>
      <c r="K11" s="357">
        <v>63</v>
      </c>
      <c r="L11" s="357">
        <v>89</v>
      </c>
      <c r="M11" s="357">
        <f t="shared" si="7"/>
        <v>-60</v>
      </c>
      <c r="N11" s="358">
        <f t="shared" si="1"/>
        <v>-41</v>
      </c>
      <c r="O11" s="355">
        <f t="shared" si="8"/>
        <v>53259</v>
      </c>
      <c r="P11" s="355">
        <f t="shared" si="2"/>
        <v>2340</v>
      </c>
      <c r="Q11" s="355">
        <f t="shared" si="2"/>
        <v>27594</v>
      </c>
      <c r="R11" s="355">
        <f t="shared" si="2"/>
        <v>1602</v>
      </c>
      <c r="S11" s="357">
        <f t="shared" si="9"/>
        <v>-25665</v>
      </c>
      <c r="T11" s="358">
        <f t="shared" si="3"/>
        <v>-738</v>
      </c>
      <c r="U11" s="373">
        <f t="shared" si="4"/>
        <v>887.65</v>
      </c>
      <c r="V11" s="374">
        <f t="shared" si="4"/>
        <v>39</v>
      </c>
      <c r="W11" s="374">
        <f t="shared" si="4"/>
        <v>459.9</v>
      </c>
      <c r="X11" s="374">
        <f t="shared" si="4"/>
        <v>26.7</v>
      </c>
      <c r="Y11" s="377">
        <f t="shared" si="10"/>
        <v>-427.75</v>
      </c>
      <c r="Z11" s="378">
        <f t="shared" si="5"/>
        <v>-12.3</v>
      </c>
    </row>
    <row r="12" spans="2:26" ht="14.45" hidden="1" x14ac:dyDescent="0.3">
      <c r="B12" s="412">
        <v>6</v>
      </c>
      <c r="C12" s="356">
        <v>0</v>
      </c>
      <c r="D12" s="357">
        <v>7</v>
      </c>
      <c r="E12" s="357">
        <v>0</v>
      </c>
      <c r="F12" s="357">
        <v>7</v>
      </c>
      <c r="G12" s="357">
        <f t="shared" si="6"/>
        <v>0</v>
      </c>
      <c r="H12" s="358">
        <f t="shared" si="0"/>
        <v>0</v>
      </c>
      <c r="I12" s="359">
        <v>0</v>
      </c>
      <c r="J12" s="357">
        <v>89</v>
      </c>
      <c r="K12" s="357">
        <v>0</v>
      </c>
      <c r="L12" s="357">
        <v>90</v>
      </c>
      <c r="M12" s="357">
        <f t="shared" si="7"/>
        <v>0</v>
      </c>
      <c r="N12" s="358">
        <f t="shared" si="1"/>
        <v>1</v>
      </c>
      <c r="O12" s="355">
        <f t="shared" si="8"/>
        <v>0</v>
      </c>
      <c r="P12" s="355">
        <f t="shared" si="2"/>
        <v>623</v>
      </c>
      <c r="Q12" s="355">
        <f t="shared" si="2"/>
        <v>0</v>
      </c>
      <c r="R12" s="355">
        <f t="shared" si="2"/>
        <v>630</v>
      </c>
      <c r="S12" s="357">
        <f t="shared" si="9"/>
        <v>0</v>
      </c>
      <c r="T12" s="358">
        <f t="shared" si="3"/>
        <v>7</v>
      </c>
      <c r="U12" s="373">
        <f t="shared" si="4"/>
        <v>0</v>
      </c>
      <c r="V12" s="374">
        <f t="shared" si="4"/>
        <v>10.383333333333333</v>
      </c>
      <c r="W12" s="374">
        <f t="shared" si="4"/>
        <v>0</v>
      </c>
      <c r="X12" s="374">
        <f t="shared" si="4"/>
        <v>10.5</v>
      </c>
      <c r="Y12" s="377">
        <f t="shared" si="10"/>
        <v>0</v>
      </c>
      <c r="Z12" s="378">
        <f t="shared" si="5"/>
        <v>0.11666666666666714</v>
      </c>
    </row>
    <row r="13" spans="2:26" ht="14.45" hidden="1" x14ac:dyDescent="0.3">
      <c r="B13" s="413">
        <v>7</v>
      </c>
      <c r="C13" s="356">
        <v>489</v>
      </c>
      <c r="D13" s="357">
        <v>0</v>
      </c>
      <c r="E13" s="357">
        <v>492</v>
      </c>
      <c r="F13" s="357">
        <v>0</v>
      </c>
      <c r="G13" s="357">
        <f t="shared" si="6"/>
        <v>3</v>
      </c>
      <c r="H13" s="358">
        <f t="shared" si="0"/>
        <v>0</v>
      </c>
      <c r="I13" s="359">
        <v>43</v>
      </c>
      <c r="J13" s="357">
        <v>0</v>
      </c>
      <c r="K13" s="357">
        <v>41</v>
      </c>
      <c r="L13" s="357">
        <v>0</v>
      </c>
      <c r="M13" s="357">
        <f t="shared" si="7"/>
        <v>-2</v>
      </c>
      <c r="N13" s="358">
        <f t="shared" si="1"/>
        <v>0</v>
      </c>
      <c r="O13" s="355">
        <f t="shared" si="8"/>
        <v>21027</v>
      </c>
      <c r="P13" s="355">
        <f t="shared" si="2"/>
        <v>0</v>
      </c>
      <c r="Q13" s="355">
        <f t="shared" si="2"/>
        <v>20172</v>
      </c>
      <c r="R13" s="355">
        <f t="shared" si="2"/>
        <v>0</v>
      </c>
      <c r="S13" s="357">
        <f t="shared" si="9"/>
        <v>-855</v>
      </c>
      <c r="T13" s="358">
        <f t="shared" si="3"/>
        <v>0</v>
      </c>
      <c r="U13" s="373">
        <f t="shared" si="4"/>
        <v>350.45</v>
      </c>
      <c r="V13" s="374">
        <f t="shared" si="4"/>
        <v>0</v>
      </c>
      <c r="W13" s="374">
        <f t="shared" si="4"/>
        <v>336.2</v>
      </c>
      <c r="X13" s="374">
        <f t="shared" si="4"/>
        <v>0</v>
      </c>
      <c r="Y13" s="377">
        <f t="shared" si="10"/>
        <v>-14.25</v>
      </c>
      <c r="Z13" s="378">
        <f t="shared" si="5"/>
        <v>0</v>
      </c>
    </row>
    <row r="14" spans="2:26" hidden="1" thickBot="1" x14ac:dyDescent="0.35">
      <c r="B14" s="414">
        <v>8</v>
      </c>
      <c r="C14" s="360">
        <v>271</v>
      </c>
      <c r="D14" s="361">
        <v>1</v>
      </c>
      <c r="E14" s="361">
        <v>282</v>
      </c>
      <c r="F14" s="361">
        <v>1</v>
      </c>
      <c r="G14" s="361">
        <f t="shared" si="6"/>
        <v>11</v>
      </c>
      <c r="H14" s="362">
        <f t="shared" si="0"/>
        <v>0</v>
      </c>
      <c r="I14" s="363">
        <v>141</v>
      </c>
      <c r="J14" s="361">
        <v>202</v>
      </c>
      <c r="K14" s="361">
        <v>13</v>
      </c>
      <c r="L14" s="361">
        <v>42</v>
      </c>
      <c r="M14" s="361">
        <f t="shared" si="7"/>
        <v>-128</v>
      </c>
      <c r="N14" s="362">
        <f t="shared" si="1"/>
        <v>-160</v>
      </c>
      <c r="O14" s="355">
        <f t="shared" si="8"/>
        <v>38211</v>
      </c>
      <c r="P14" s="355">
        <f t="shared" si="2"/>
        <v>202</v>
      </c>
      <c r="Q14" s="355">
        <f t="shared" si="2"/>
        <v>3666</v>
      </c>
      <c r="R14" s="355">
        <f t="shared" si="2"/>
        <v>42</v>
      </c>
      <c r="S14" s="361">
        <f t="shared" si="9"/>
        <v>-34545</v>
      </c>
      <c r="T14" s="362">
        <f t="shared" si="3"/>
        <v>-160</v>
      </c>
      <c r="U14" s="373">
        <f t="shared" si="4"/>
        <v>636.85</v>
      </c>
      <c r="V14" s="374">
        <f t="shared" si="4"/>
        <v>3.3666666666666667</v>
      </c>
      <c r="W14" s="374">
        <f t="shared" si="4"/>
        <v>61.1</v>
      </c>
      <c r="X14" s="374">
        <f t="shared" si="4"/>
        <v>0.7</v>
      </c>
      <c r="Y14" s="379">
        <f t="shared" si="10"/>
        <v>-575.75</v>
      </c>
      <c r="Z14" s="380">
        <f t="shared" si="5"/>
        <v>-2.666666666666667</v>
      </c>
    </row>
    <row r="15" spans="2:26" hidden="1" thickBot="1" x14ac:dyDescent="0.35">
      <c r="B15" s="364"/>
      <c r="C15" s="365">
        <f>SUM(C7:C14)</f>
        <v>2970</v>
      </c>
      <c r="D15" s="366">
        <f t="shared" ref="D15:H15" si="11">SUM(D7:D14)</f>
        <v>103</v>
      </c>
      <c r="E15" s="366">
        <f t="shared" si="11"/>
        <v>3047</v>
      </c>
      <c r="F15" s="366">
        <f t="shared" si="11"/>
        <v>108</v>
      </c>
      <c r="G15" s="366">
        <f t="shared" si="11"/>
        <v>77</v>
      </c>
      <c r="H15" s="367">
        <f t="shared" si="11"/>
        <v>5</v>
      </c>
      <c r="I15" s="368">
        <f>O15/C15</f>
        <v>158.20639730639729</v>
      </c>
      <c r="J15" s="369">
        <f t="shared" ref="J15:L15" si="12">P15/D15</f>
        <v>190.126213592233</v>
      </c>
      <c r="K15" s="369">
        <f t="shared" si="12"/>
        <v>106.44240236297998</v>
      </c>
      <c r="L15" s="369">
        <f t="shared" si="12"/>
        <v>162.12037037037038</v>
      </c>
      <c r="M15" s="369">
        <f t="shared" si="7"/>
        <v>-51.763994943417316</v>
      </c>
      <c r="N15" s="370">
        <f t="shared" si="1"/>
        <v>-28.005843221862619</v>
      </c>
      <c r="O15" s="371">
        <f t="shared" ref="O15:Z15" si="13">SUM(O7:O14)</f>
        <v>469873</v>
      </c>
      <c r="P15" s="366">
        <f t="shared" si="13"/>
        <v>19583</v>
      </c>
      <c r="Q15" s="366">
        <f t="shared" si="13"/>
        <v>324330</v>
      </c>
      <c r="R15" s="366">
        <f t="shared" si="13"/>
        <v>17509</v>
      </c>
      <c r="S15" s="366">
        <f t="shared" si="13"/>
        <v>-145543</v>
      </c>
      <c r="T15" s="367">
        <f t="shared" si="13"/>
        <v>-2074</v>
      </c>
      <c r="U15" s="381">
        <f t="shared" si="13"/>
        <v>7831.2166666666672</v>
      </c>
      <c r="V15" s="382">
        <f t="shared" si="13"/>
        <v>326.38333333333333</v>
      </c>
      <c r="W15" s="382">
        <f t="shared" si="13"/>
        <v>5405.4999999999991</v>
      </c>
      <c r="X15" s="382">
        <f t="shared" si="13"/>
        <v>291.81666666666666</v>
      </c>
      <c r="Y15" s="382">
        <f t="shared" si="13"/>
        <v>-2425.7166666666662</v>
      </c>
      <c r="Z15" s="383">
        <f t="shared" si="13"/>
        <v>-34.566666666666649</v>
      </c>
    </row>
    <row r="16" spans="2:26" ht="14.45" hidden="1" x14ac:dyDescent="0.3">
      <c r="C16" s="372">
        <f>C15/(C15+D15)</f>
        <v>0.96648226488773181</v>
      </c>
      <c r="D16" s="372">
        <f>D15/(C15+D15)</f>
        <v>3.3517735112268139E-2</v>
      </c>
      <c r="U16" s="415">
        <f>U15/60</f>
        <v>130.52027777777778</v>
      </c>
      <c r="V16" s="415">
        <f t="shared" ref="V16:X16" si="14">V15/60</f>
        <v>5.4397222222222217</v>
      </c>
      <c r="W16" s="415">
        <f t="shared" si="14"/>
        <v>90.091666666666654</v>
      </c>
      <c r="X16" s="415">
        <f t="shared" si="14"/>
        <v>4.8636111111111111</v>
      </c>
      <c r="Y16" s="415">
        <f t="shared" ref="Y16:Z16" si="15">W16-U16</f>
        <v>-40.428611111111124</v>
      </c>
      <c r="Z16" s="415">
        <f t="shared" si="15"/>
        <v>-0.57611111111111057</v>
      </c>
    </row>
    <row r="17" spans="2:26" hidden="1" thickBot="1" x14ac:dyDescent="0.35">
      <c r="U17" s="472">
        <f>U16+V16</f>
        <v>135.96</v>
      </c>
      <c r="V17" s="472"/>
      <c r="W17" s="472">
        <f>W16+X16</f>
        <v>94.955277777777766</v>
      </c>
      <c r="X17" s="472"/>
      <c r="Y17" s="472">
        <f>W17-U17</f>
        <v>-41.004722222222242</v>
      </c>
      <c r="Z17" s="472"/>
    </row>
    <row r="18" spans="2:26" x14ac:dyDescent="0.25">
      <c r="B18" s="475" t="s">
        <v>241</v>
      </c>
      <c r="C18" s="461" t="s">
        <v>327</v>
      </c>
      <c r="D18" s="462"/>
      <c r="E18" s="462"/>
      <c r="F18" s="462"/>
      <c r="G18" s="462"/>
      <c r="H18" s="463"/>
    </row>
    <row r="19" spans="2:26" x14ac:dyDescent="0.25">
      <c r="B19" s="476"/>
      <c r="C19" s="464" t="s">
        <v>244</v>
      </c>
      <c r="D19" s="465"/>
      <c r="E19" s="465" t="s">
        <v>245</v>
      </c>
      <c r="F19" s="465"/>
      <c r="G19" s="465" t="s">
        <v>246</v>
      </c>
      <c r="H19" s="466"/>
    </row>
    <row r="20" spans="2:26" ht="15.75" thickBot="1" x14ac:dyDescent="0.3">
      <c r="B20" s="477"/>
      <c r="C20" s="348" t="s">
        <v>295</v>
      </c>
      <c r="D20" s="349" t="s">
        <v>296</v>
      </c>
      <c r="E20" s="349" t="s">
        <v>295</v>
      </c>
      <c r="F20" s="349" t="s">
        <v>296</v>
      </c>
      <c r="G20" s="349" t="s">
        <v>295</v>
      </c>
      <c r="H20" s="350" t="s">
        <v>296</v>
      </c>
    </row>
    <row r="21" spans="2:26" ht="14.45" x14ac:dyDescent="0.3">
      <c r="B21" s="409">
        <v>1</v>
      </c>
      <c r="C21" s="352">
        <f t="shared" ref="C21:C28" si="16">D7</f>
        <v>27</v>
      </c>
      <c r="D21" s="416">
        <f t="shared" ref="D21:D26" si="17">P7/C21</f>
        <v>203</v>
      </c>
      <c r="E21" s="353">
        <f t="shared" ref="E21:E28" si="18">F7</f>
        <v>29</v>
      </c>
      <c r="F21" s="416">
        <f>R7/E21</f>
        <v>171</v>
      </c>
      <c r="G21" s="416">
        <f>E21-C21</f>
        <v>2</v>
      </c>
      <c r="H21" s="417">
        <f t="shared" ref="H21:H29" si="19">F21-D21</f>
        <v>-32</v>
      </c>
    </row>
    <row r="22" spans="2:26" ht="14.45" x14ac:dyDescent="0.3">
      <c r="B22" s="410">
        <v>2</v>
      </c>
      <c r="C22" s="356">
        <f t="shared" si="16"/>
        <v>17</v>
      </c>
      <c r="D22" s="416">
        <f t="shared" si="17"/>
        <v>193</v>
      </c>
      <c r="E22" s="357">
        <f t="shared" si="18"/>
        <v>18</v>
      </c>
      <c r="F22" s="418">
        <f>R8/E22</f>
        <v>160</v>
      </c>
      <c r="G22" s="418">
        <f t="shared" ref="G22:G28" si="20">E22-C22</f>
        <v>1</v>
      </c>
      <c r="H22" s="419">
        <f t="shared" si="19"/>
        <v>-33</v>
      </c>
    </row>
    <row r="23" spans="2:26" ht="14.45" x14ac:dyDescent="0.3">
      <c r="B23" s="410">
        <v>3</v>
      </c>
      <c r="C23" s="356">
        <f t="shared" si="16"/>
        <v>15</v>
      </c>
      <c r="D23" s="416">
        <f t="shared" si="17"/>
        <v>262</v>
      </c>
      <c r="E23" s="357">
        <f t="shared" si="18"/>
        <v>16</v>
      </c>
      <c r="F23" s="418">
        <f t="shared" ref="F23:F28" si="21">R9/E23</f>
        <v>239</v>
      </c>
      <c r="G23" s="418">
        <f t="shared" si="20"/>
        <v>1</v>
      </c>
      <c r="H23" s="419">
        <f t="shared" si="19"/>
        <v>-23</v>
      </c>
    </row>
    <row r="24" spans="2:26" ht="14.45" x14ac:dyDescent="0.3">
      <c r="B24" s="411">
        <v>4</v>
      </c>
      <c r="C24" s="356">
        <f t="shared" si="16"/>
        <v>18</v>
      </c>
      <c r="D24" s="416">
        <f t="shared" si="17"/>
        <v>207</v>
      </c>
      <c r="E24" s="357">
        <f t="shared" si="18"/>
        <v>19</v>
      </c>
      <c r="F24" s="418">
        <f t="shared" si="21"/>
        <v>188</v>
      </c>
      <c r="G24" s="418">
        <f t="shared" si="20"/>
        <v>1</v>
      </c>
      <c r="H24" s="419">
        <f t="shared" si="19"/>
        <v>-19</v>
      </c>
    </row>
    <row r="25" spans="2:26" ht="14.45" x14ac:dyDescent="0.3">
      <c r="B25" s="411">
        <v>5</v>
      </c>
      <c r="C25" s="356">
        <f t="shared" si="16"/>
        <v>18</v>
      </c>
      <c r="D25" s="416">
        <f t="shared" si="17"/>
        <v>130</v>
      </c>
      <c r="E25" s="357">
        <f t="shared" si="18"/>
        <v>18</v>
      </c>
      <c r="F25" s="418">
        <f t="shared" si="21"/>
        <v>89</v>
      </c>
      <c r="G25" s="418">
        <f t="shared" si="20"/>
        <v>0</v>
      </c>
      <c r="H25" s="419">
        <f t="shared" si="19"/>
        <v>-41</v>
      </c>
    </row>
    <row r="26" spans="2:26" ht="14.45" x14ac:dyDescent="0.3">
      <c r="B26" s="412">
        <v>6</v>
      </c>
      <c r="C26" s="356">
        <f t="shared" si="16"/>
        <v>7</v>
      </c>
      <c r="D26" s="416">
        <f t="shared" si="17"/>
        <v>89</v>
      </c>
      <c r="E26" s="357">
        <f t="shared" si="18"/>
        <v>7</v>
      </c>
      <c r="F26" s="418">
        <f t="shared" si="21"/>
        <v>90</v>
      </c>
      <c r="G26" s="418">
        <f t="shared" si="20"/>
        <v>0</v>
      </c>
      <c r="H26" s="419">
        <f t="shared" si="19"/>
        <v>1</v>
      </c>
    </row>
    <row r="27" spans="2:26" ht="14.45" x14ac:dyDescent="0.3">
      <c r="B27" s="413">
        <v>7</v>
      </c>
      <c r="C27" s="356">
        <f t="shared" si="16"/>
        <v>0</v>
      </c>
      <c r="D27" s="416">
        <v>0</v>
      </c>
      <c r="E27" s="357">
        <f t="shared" si="18"/>
        <v>0</v>
      </c>
      <c r="F27" s="418">
        <v>0</v>
      </c>
      <c r="G27" s="418">
        <f t="shared" si="20"/>
        <v>0</v>
      </c>
      <c r="H27" s="419">
        <f t="shared" si="19"/>
        <v>0</v>
      </c>
    </row>
    <row r="28" spans="2:26" thickBot="1" x14ac:dyDescent="0.35">
      <c r="B28" s="414">
        <v>8</v>
      </c>
      <c r="C28" s="360">
        <f t="shared" si="16"/>
        <v>1</v>
      </c>
      <c r="D28" s="416">
        <f>P14/C28</f>
        <v>202</v>
      </c>
      <c r="E28" s="361">
        <f t="shared" si="18"/>
        <v>1</v>
      </c>
      <c r="F28" s="420">
        <f t="shared" si="21"/>
        <v>42</v>
      </c>
      <c r="G28" s="420">
        <f t="shared" si="20"/>
        <v>0</v>
      </c>
      <c r="H28" s="421">
        <f t="shared" si="19"/>
        <v>-160</v>
      </c>
    </row>
    <row r="29" spans="2:26" thickBot="1" x14ac:dyDescent="0.35">
      <c r="B29" s="364"/>
      <c r="C29" s="365">
        <f>SUM(C21:C28)</f>
        <v>103</v>
      </c>
      <c r="D29" s="369">
        <f t="shared" ref="D29" si="22">(O15+P15)/C29</f>
        <v>4752</v>
      </c>
      <c r="E29" s="366">
        <f t="shared" ref="E29:G29" si="23">SUM(E21:E28)</f>
        <v>108</v>
      </c>
      <c r="F29" s="369">
        <f t="shared" ref="F29" si="24">(Q15+R15)/E29</f>
        <v>3165.1759259259261</v>
      </c>
      <c r="G29" s="369">
        <f t="shared" si="23"/>
        <v>5</v>
      </c>
      <c r="H29" s="370">
        <f t="shared" si="19"/>
        <v>-1586.8240740740739</v>
      </c>
    </row>
    <row r="30" spans="2:26" ht="14.45" x14ac:dyDescent="0.3">
      <c r="C30" s="372"/>
      <c r="D30" s="372"/>
    </row>
    <row r="32" spans="2:26" ht="14.45" x14ac:dyDescent="0.3">
      <c r="B32" s="422" t="s">
        <v>299</v>
      </c>
      <c r="C32" s="422" t="s">
        <v>289</v>
      </c>
      <c r="D32" s="422" t="s">
        <v>290</v>
      </c>
      <c r="E32" s="422" t="s">
        <v>291</v>
      </c>
      <c r="F32" s="422" t="s">
        <v>292</v>
      </c>
      <c r="G32" s="422" t="s">
        <v>293</v>
      </c>
      <c r="H32" s="422" t="s">
        <v>294</v>
      </c>
    </row>
    <row r="33" spans="2:20" ht="14.45" x14ac:dyDescent="0.3">
      <c r="B33" s="422" t="s">
        <v>289</v>
      </c>
      <c r="C33" s="357">
        <v>0</v>
      </c>
      <c r="D33" s="357">
        <f>550</f>
        <v>550</v>
      </c>
      <c r="E33" s="473">
        <f>550+170</f>
        <v>720</v>
      </c>
      <c r="F33" s="474"/>
      <c r="G33" s="357">
        <f>550+430</f>
        <v>980</v>
      </c>
      <c r="H33" s="357">
        <f>550+430+520</f>
        <v>1500</v>
      </c>
    </row>
    <row r="34" spans="2:20" ht="14.45" x14ac:dyDescent="0.3">
      <c r="B34" s="422" t="s">
        <v>290</v>
      </c>
      <c r="C34" s="357">
        <v>200</v>
      </c>
      <c r="D34" s="357">
        <v>0</v>
      </c>
      <c r="E34" s="473">
        <f>200+170</f>
        <v>370</v>
      </c>
      <c r="F34" s="474"/>
      <c r="G34" s="357">
        <f>200+430</f>
        <v>630</v>
      </c>
      <c r="H34" s="357">
        <f>200+430+520</f>
        <v>1150</v>
      </c>
    </row>
    <row r="35" spans="2:20" ht="14.45" x14ac:dyDescent="0.3">
      <c r="B35" s="422" t="s">
        <v>291</v>
      </c>
      <c r="C35" s="473">
        <f>165+170</f>
        <v>335</v>
      </c>
      <c r="D35" s="474"/>
      <c r="E35" s="357">
        <v>0</v>
      </c>
      <c r="F35" s="357">
        <v>165</v>
      </c>
      <c r="G35" s="357">
        <f>165+260</f>
        <v>425</v>
      </c>
      <c r="H35" s="357">
        <f>165+260+520</f>
        <v>945</v>
      </c>
    </row>
    <row r="36" spans="2:20" ht="14.45" x14ac:dyDescent="0.3">
      <c r="B36" s="422" t="s">
        <v>292</v>
      </c>
      <c r="C36" s="473">
        <f>125+170</f>
        <v>295</v>
      </c>
      <c r="D36" s="474"/>
      <c r="E36" s="357">
        <v>125</v>
      </c>
      <c r="F36" s="357">
        <v>0</v>
      </c>
      <c r="G36" s="357">
        <f>125+260</f>
        <v>385</v>
      </c>
      <c r="H36" s="357">
        <f>125+260+520</f>
        <v>905</v>
      </c>
    </row>
    <row r="37" spans="2:20" ht="14.45" x14ac:dyDescent="0.3">
      <c r="B37" s="422" t="s">
        <v>293</v>
      </c>
      <c r="C37" s="473">
        <v>430</v>
      </c>
      <c r="D37" s="474"/>
      <c r="E37" s="473">
        <v>260</v>
      </c>
      <c r="F37" s="474"/>
      <c r="G37" s="357">
        <v>0</v>
      </c>
      <c r="H37" s="357">
        <v>520</v>
      </c>
    </row>
    <row r="38" spans="2:20" ht="14.45" x14ac:dyDescent="0.3">
      <c r="B38" s="422" t="s">
        <v>294</v>
      </c>
      <c r="C38" s="473">
        <f>520+430</f>
        <v>950</v>
      </c>
      <c r="D38" s="474"/>
      <c r="E38" s="473">
        <f>520+260</f>
        <v>780</v>
      </c>
      <c r="F38" s="474"/>
      <c r="G38" s="357">
        <f>520</f>
        <v>520</v>
      </c>
      <c r="H38" s="357">
        <v>0</v>
      </c>
    </row>
    <row r="41" spans="2:20" ht="14.45" x14ac:dyDescent="0.3">
      <c r="B41" s="422" t="s">
        <v>329</v>
      </c>
      <c r="C41" s="422" t="s">
        <v>289</v>
      </c>
      <c r="D41" s="422" t="s">
        <v>290</v>
      </c>
      <c r="E41" s="422" t="s">
        <v>291</v>
      </c>
      <c r="F41" s="422" t="s">
        <v>292</v>
      </c>
      <c r="G41" s="422" t="s">
        <v>293</v>
      </c>
      <c r="H41" s="422" t="s">
        <v>294</v>
      </c>
      <c r="I41" s="357"/>
      <c r="L41" s="460" t="s">
        <v>330</v>
      </c>
      <c r="M41" s="422" t="s">
        <v>289</v>
      </c>
      <c r="N41" s="422" t="s">
        <v>290</v>
      </c>
      <c r="O41" s="422" t="s">
        <v>291</v>
      </c>
      <c r="P41" s="422" t="s">
        <v>292</v>
      </c>
      <c r="Q41" s="422" t="s">
        <v>293</v>
      </c>
      <c r="R41" s="422" t="s">
        <v>294</v>
      </c>
      <c r="S41" s="357"/>
    </row>
    <row r="42" spans="2:20" ht="14.45" x14ac:dyDescent="0.3">
      <c r="B42" s="422" t="s">
        <v>289</v>
      </c>
      <c r="C42" s="418">
        <v>0</v>
      </c>
      <c r="D42" s="418">
        <v>1</v>
      </c>
      <c r="E42" s="478">
        <v>9</v>
      </c>
      <c r="F42" s="479"/>
      <c r="G42" s="418">
        <v>2</v>
      </c>
      <c r="H42" s="418">
        <f>C23</f>
        <v>15</v>
      </c>
      <c r="I42" s="418">
        <f>C21</f>
        <v>27</v>
      </c>
      <c r="J42" s="423">
        <f>SUM(C42:H42)</f>
        <v>27</v>
      </c>
      <c r="L42" s="422" t="s">
        <v>289</v>
      </c>
      <c r="M42" s="418">
        <f>C42*12.2</f>
        <v>0</v>
      </c>
      <c r="N42" s="418">
        <f t="shared" ref="N42:N47" si="25">D42*12.2</f>
        <v>12.2</v>
      </c>
      <c r="O42" s="478">
        <f t="shared" ref="O42:O47" si="26">E42*12.2</f>
        <v>109.8</v>
      </c>
      <c r="P42" s="479">
        <f t="shared" ref="P42:P47" si="27">F42*12.2</f>
        <v>0</v>
      </c>
      <c r="Q42" s="418">
        <f t="shared" ref="Q42:Q47" si="28">G42*12.2</f>
        <v>24.4</v>
      </c>
      <c r="R42" s="418">
        <f t="shared" ref="R42:R47" si="29">H42*12.2</f>
        <v>183</v>
      </c>
      <c r="S42" s="418">
        <f>SUM(M42:R42)</f>
        <v>329.4</v>
      </c>
      <c r="T42" s="423"/>
    </row>
    <row r="43" spans="2:20" ht="14.45" x14ac:dyDescent="0.3">
      <c r="B43" s="422" t="s">
        <v>290</v>
      </c>
      <c r="C43" s="418">
        <v>1</v>
      </c>
      <c r="D43" s="418">
        <v>0</v>
      </c>
      <c r="E43" s="478">
        <v>0</v>
      </c>
      <c r="F43" s="479"/>
      <c r="G43" s="418">
        <f>(I43-C43)*G48/(G48+H48)</f>
        <v>0</v>
      </c>
      <c r="H43" s="418">
        <f>I43-C43-G43</f>
        <v>0</v>
      </c>
      <c r="I43" s="357">
        <f>C28</f>
        <v>1</v>
      </c>
      <c r="J43" s="423">
        <f t="shared" ref="J43:J48" si="30">SUM(C43:H43)</f>
        <v>1</v>
      </c>
      <c r="L43" s="422" t="s">
        <v>290</v>
      </c>
      <c r="M43" s="418">
        <f t="shared" ref="M43:M47" si="31">C43*12.2</f>
        <v>12.2</v>
      </c>
      <c r="N43" s="418">
        <f t="shared" si="25"/>
        <v>0</v>
      </c>
      <c r="O43" s="478">
        <f t="shared" si="26"/>
        <v>0</v>
      </c>
      <c r="P43" s="479">
        <f t="shared" si="27"/>
        <v>0</v>
      </c>
      <c r="Q43" s="418">
        <f t="shared" si="28"/>
        <v>0</v>
      </c>
      <c r="R43" s="418">
        <f t="shared" si="29"/>
        <v>0</v>
      </c>
      <c r="S43" s="418">
        <f t="shared" ref="S43:S47" si="32">SUM(M43:R43)</f>
        <v>12.2</v>
      </c>
      <c r="T43" s="423"/>
    </row>
    <row r="44" spans="2:20" ht="14.45" x14ac:dyDescent="0.3">
      <c r="B44" s="422" t="s">
        <v>291</v>
      </c>
      <c r="C44" s="478">
        <v>0</v>
      </c>
      <c r="D44" s="479"/>
      <c r="E44" s="418">
        <v>0</v>
      </c>
      <c r="F44" s="418">
        <v>0</v>
      </c>
      <c r="G44" s="418">
        <v>0</v>
      </c>
      <c r="H44" s="418">
        <v>0</v>
      </c>
      <c r="I44" s="357">
        <f>C27</f>
        <v>0</v>
      </c>
      <c r="J44" s="423">
        <f t="shared" si="30"/>
        <v>0</v>
      </c>
      <c r="L44" s="422" t="s">
        <v>291</v>
      </c>
      <c r="M44" s="478">
        <f t="shared" si="31"/>
        <v>0</v>
      </c>
      <c r="N44" s="479">
        <f t="shared" si="25"/>
        <v>0</v>
      </c>
      <c r="O44" s="418">
        <f t="shared" si="26"/>
        <v>0</v>
      </c>
      <c r="P44" s="418">
        <f t="shared" si="27"/>
        <v>0</v>
      </c>
      <c r="Q44" s="418">
        <f t="shared" si="28"/>
        <v>0</v>
      </c>
      <c r="R44" s="418">
        <f t="shared" si="29"/>
        <v>0</v>
      </c>
      <c r="S44" s="418">
        <f t="shared" si="32"/>
        <v>0</v>
      </c>
      <c r="T44" s="423"/>
    </row>
    <row r="45" spans="2:20" ht="14.45" x14ac:dyDescent="0.3">
      <c r="B45" s="422" t="s">
        <v>292</v>
      </c>
      <c r="C45" s="478">
        <f>I45</f>
        <v>7</v>
      </c>
      <c r="D45" s="479"/>
      <c r="E45" s="418">
        <v>0</v>
      </c>
      <c r="F45" s="418">
        <v>0</v>
      </c>
      <c r="G45" s="418">
        <v>0</v>
      </c>
      <c r="H45" s="418">
        <v>0</v>
      </c>
      <c r="I45" s="357">
        <f>C26</f>
        <v>7</v>
      </c>
      <c r="J45" s="423">
        <f t="shared" si="30"/>
        <v>7</v>
      </c>
      <c r="L45" s="422" t="s">
        <v>292</v>
      </c>
      <c r="M45" s="478">
        <f t="shared" si="31"/>
        <v>85.399999999999991</v>
      </c>
      <c r="N45" s="479">
        <f t="shared" si="25"/>
        <v>0</v>
      </c>
      <c r="O45" s="418">
        <f t="shared" si="26"/>
        <v>0</v>
      </c>
      <c r="P45" s="418">
        <f t="shared" si="27"/>
        <v>0</v>
      </c>
      <c r="Q45" s="418">
        <f t="shared" si="28"/>
        <v>0</v>
      </c>
      <c r="R45" s="418">
        <f t="shared" si="29"/>
        <v>0</v>
      </c>
      <c r="S45" s="418">
        <f t="shared" si="32"/>
        <v>85.399999999999991</v>
      </c>
      <c r="T45" s="423"/>
    </row>
    <row r="46" spans="2:20" x14ac:dyDescent="0.25">
      <c r="B46" s="422" t="s">
        <v>293</v>
      </c>
      <c r="C46" s="478">
        <f>I46</f>
        <v>0</v>
      </c>
      <c r="D46" s="479"/>
      <c r="E46" s="478">
        <v>0</v>
      </c>
      <c r="F46" s="479"/>
      <c r="G46" s="418">
        <v>0</v>
      </c>
      <c r="H46" s="418">
        <v>0</v>
      </c>
      <c r="I46" s="357">
        <f>C25-C24</f>
        <v>0</v>
      </c>
      <c r="J46" s="423">
        <f t="shared" si="30"/>
        <v>0</v>
      </c>
      <c r="L46" s="422" t="s">
        <v>293</v>
      </c>
      <c r="M46" s="478">
        <f t="shared" si="31"/>
        <v>0</v>
      </c>
      <c r="N46" s="479">
        <f t="shared" si="25"/>
        <v>0</v>
      </c>
      <c r="O46" s="478">
        <f t="shared" si="26"/>
        <v>0</v>
      </c>
      <c r="P46" s="479">
        <f t="shared" si="27"/>
        <v>0</v>
      </c>
      <c r="Q46" s="418">
        <f t="shared" si="28"/>
        <v>0</v>
      </c>
      <c r="R46" s="418">
        <f t="shared" si="29"/>
        <v>0</v>
      </c>
      <c r="S46" s="418">
        <f t="shared" si="32"/>
        <v>0</v>
      </c>
      <c r="T46" s="423"/>
    </row>
    <row r="47" spans="2:20" x14ac:dyDescent="0.25">
      <c r="B47" s="422" t="s">
        <v>294</v>
      </c>
      <c r="C47" s="478">
        <f>C25-C44-C45-C46</f>
        <v>11</v>
      </c>
      <c r="D47" s="479"/>
      <c r="E47" s="478">
        <f>I47-C47-G47</f>
        <v>7</v>
      </c>
      <c r="F47" s="479"/>
      <c r="G47" s="418">
        <v>0</v>
      </c>
      <c r="H47" s="418">
        <v>0</v>
      </c>
      <c r="I47" s="357">
        <f>C24</f>
        <v>18</v>
      </c>
      <c r="J47" s="423">
        <f t="shared" si="30"/>
        <v>18</v>
      </c>
      <c r="L47" s="422" t="s">
        <v>294</v>
      </c>
      <c r="M47" s="478">
        <f t="shared" si="31"/>
        <v>134.19999999999999</v>
      </c>
      <c r="N47" s="479">
        <f t="shared" si="25"/>
        <v>0</v>
      </c>
      <c r="O47" s="478">
        <f t="shared" si="26"/>
        <v>85.399999999999991</v>
      </c>
      <c r="P47" s="479">
        <f t="shared" si="27"/>
        <v>0</v>
      </c>
      <c r="Q47" s="418">
        <f t="shared" si="28"/>
        <v>0</v>
      </c>
      <c r="R47" s="418">
        <f t="shared" si="29"/>
        <v>0</v>
      </c>
      <c r="S47" s="418">
        <f t="shared" si="32"/>
        <v>219.59999999999997</v>
      </c>
      <c r="T47" s="423"/>
    </row>
    <row r="48" spans="2:20" x14ac:dyDescent="0.25">
      <c r="B48" s="357"/>
      <c r="C48" s="478">
        <f>C25+C43+D42</f>
        <v>20</v>
      </c>
      <c r="D48" s="479"/>
      <c r="E48" s="478">
        <f>SUM(E42:E47)</f>
        <v>16</v>
      </c>
      <c r="F48" s="479"/>
      <c r="G48" s="357">
        <f>C22-C23</f>
        <v>2</v>
      </c>
      <c r="H48" s="357">
        <f>C23</f>
        <v>15</v>
      </c>
      <c r="I48" s="357">
        <f>SUM(I42:I47)</f>
        <v>53</v>
      </c>
      <c r="J48" s="423">
        <f t="shared" si="30"/>
        <v>53</v>
      </c>
      <c r="L48" s="357"/>
      <c r="M48" s="478">
        <f>SUM(M42:N47)</f>
        <v>243.99999999999997</v>
      </c>
      <c r="N48" s="479"/>
      <c r="O48" s="478">
        <f>SUM(O42:P47)</f>
        <v>195.2</v>
      </c>
      <c r="P48" s="479"/>
      <c r="Q48" s="418">
        <f>SUM(Q42:Q47)</f>
        <v>24.4</v>
      </c>
      <c r="R48" s="418">
        <f>SUM(R42:R47)</f>
        <v>183</v>
      </c>
      <c r="S48" s="459">
        <f>SUM(S42:S47)</f>
        <v>646.59999999999991</v>
      </c>
      <c r="T48" s="423"/>
    </row>
    <row r="49" spans="2:19" x14ac:dyDescent="0.25">
      <c r="C49" s="480">
        <f>SUM(C42:D47)</f>
        <v>20</v>
      </c>
      <c r="D49" s="480"/>
      <c r="E49" s="480">
        <f t="shared" ref="E49:H49" si="33">SUM(E42:E47)</f>
        <v>16</v>
      </c>
      <c r="F49" s="480"/>
      <c r="G49" s="423">
        <f t="shared" si="33"/>
        <v>2</v>
      </c>
      <c r="H49" s="423">
        <f t="shared" si="33"/>
        <v>15</v>
      </c>
      <c r="I49" s="423">
        <f>SUM(C49:H49)</f>
        <v>53</v>
      </c>
      <c r="M49" s="480"/>
      <c r="N49" s="480"/>
      <c r="O49" s="480"/>
      <c r="P49" s="480"/>
      <c r="Q49" s="423"/>
      <c r="R49" s="423"/>
      <c r="S49" s="423"/>
    </row>
    <row r="51" spans="2:19" x14ac:dyDescent="0.25">
      <c r="B51" s="422" t="s">
        <v>304</v>
      </c>
      <c r="C51" s="422" t="s">
        <v>289</v>
      </c>
      <c r="D51" s="422" t="s">
        <v>290</v>
      </c>
      <c r="E51" s="422" t="s">
        <v>291</v>
      </c>
      <c r="F51" s="422" t="s">
        <v>292</v>
      </c>
      <c r="G51" s="422" t="s">
        <v>293</v>
      </c>
      <c r="H51" s="422" t="s">
        <v>294</v>
      </c>
      <c r="L51" s="422" t="s">
        <v>305</v>
      </c>
      <c r="M51" s="422" t="s">
        <v>289</v>
      </c>
      <c r="N51" s="422" t="s">
        <v>290</v>
      </c>
      <c r="O51" s="422" t="s">
        <v>291</v>
      </c>
      <c r="P51" s="422" t="s">
        <v>292</v>
      </c>
      <c r="Q51" s="422" t="s">
        <v>293</v>
      </c>
      <c r="R51" s="422" t="s">
        <v>294</v>
      </c>
    </row>
    <row r="52" spans="2:19" x14ac:dyDescent="0.25">
      <c r="B52" s="422" t="s">
        <v>289</v>
      </c>
      <c r="C52" s="418">
        <v>0</v>
      </c>
      <c r="D52" s="418">
        <f>D$21</f>
        <v>203</v>
      </c>
      <c r="E52" s="478">
        <f>D$21+D$22*170/430</f>
        <v>279.30232558139534</v>
      </c>
      <c r="F52" s="479"/>
      <c r="G52" s="418">
        <f>D$21+D$22</f>
        <v>396</v>
      </c>
      <c r="H52" s="418">
        <f>D$21+D$22+D$23</f>
        <v>658</v>
      </c>
      <c r="L52" s="422" t="s">
        <v>289</v>
      </c>
      <c r="M52" s="418">
        <v>0</v>
      </c>
      <c r="N52" s="418">
        <f>F$21</f>
        <v>171</v>
      </c>
      <c r="O52" s="478">
        <f>F$21+F$22*170/430</f>
        <v>234.25581395348837</v>
      </c>
      <c r="P52" s="479"/>
      <c r="Q52" s="418">
        <f>F$21+F$22</f>
        <v>331</v>
      </c>
      <c r="R52" s="418">
        <f>F$21+F$22+F$23</f>
        <v>570</v>
      </c>
    </row>
    <row r="53" spans="2:19" x14ac:dyDescent="0.25">
      <c r="B53" s="422" t="s">
        <v>290</v>
      </c>
      <c r="C53" s="418">
        <f>D$28</f>
        <v>202</v>
      </c>
      <c r="D53" s="418">
        <v>0</v>
      </c>
      <c r="E53" s="478">
        <f>D$28+D$22*170/430</f>
        <v>278.30232558139534</v>
      </c>
      <c r="F53" s="479"/>
      <c r="G53" s="418">
        <f>D$28+D$22</f>
        <v>395</v>
      </c>
      <c r="H53" s="418">
        <f>D$28+D$22+D$23</f>
        <v>657</v>
      </c>
      <c r="L53" s="422" t="s">
        <v>290</v>
      </c>
      <c r="M53" s="418">
        <f>F$28</f>
        <v>42</v>
      </c>
      <c r="N53" s="418">
        <v>0</v>
      </c>
      <c r="O53" s="478">
        <f>F$28+F$22*170/430</f>
        <v>105.25581395348837</v>
      </c>
      <c r="P53" s="479"/>
      <c r="Q53" s="418">
        <f>F$28+F$22</f>
        <v>202</v>
      </c>
      <c r="R53" s="418">
        <f>F$28+F$22+F$23</f>
        <v>441</v>
      </c>
    </row>
    <row r="54" spans="2:19" x14ac:dyDescent="0.25">
      <c r="B54" s="422" t="s">
        <v>291</v>
      </c>
      <c r="C54" s="478">
        <f>D$27+D$25*170/430</f>
        <v>51.395348837209305</v>
      </c>
      <c r="D54" s="479"/>
      <c r="E54" s="418">
        <v>0</v>
      </c>
      <c r="F54" s="418">
        <f>D$27</f>
        <v>0</v>
      </c>
      <c r="G54" s="418">
        <f>D$27+D$22*260/430</f>
        <v>116.69767441860465</v>
      </c>
      <c r="H54" s="418">
        <f>D$27+D$22*260/430+D$23</f>
        <v>378.69767441860466</v>
      </c>
      <c r="L54" s="422" t="s">
        <v>291</v>
      </c>
      <c r="M54" s="478">
        <f>F$27+F$25*170/430</f>
        <v>35.186046511627907</v>
      </c>
      <c r="N54" s="479"/>
      <c r="O54" s="418">
        <v>0</v>
      </c>
      <c r="P54" s="418">
        <f>F$27</f>
        <v>0</v>
      </c>
      <c r="Q54" s="418">
        <f>F$27+F$22*260/430</f>
        <v>96.744186046511629</v>
      </c>
      <c r="R54" s="418">
        <f>F$27+F$22*260/430+F$23</f>
        <v>335.74418604651163</v>
      </c>
    </row>
    <row r="55" spans="2:19" x14ac:dyDescent="0.25">
      <c r="B55" s="422" t="s">
        <v>292</v>
      </c>
      <c r="C55" s="478">
        <f>D$26+D$25*170/430</f>
        <v>140.3953488372093</v>
      </c>
      <c r="D55" s="479"/>
      <c r="E55" s="418">
        <f>D$26</f>
        <v>89</v>
      </c>
      <c r="F55" s="418">
        <v>0</v>
      </c>
      <c r="G55" s="418">
        <f>D$26+260/430*D$22</f>
        <v>205.69767441860466</v>
      </c>
      <c r="H55" s="418">
        <f>D$26+260/430*D$22+D$23</f>
        <v>467.69767441860466</v>
      </c>
      <c r="L55" s="422" t="s">
        <v>292</v>
      </c>
      <c r="M55" s="478">
        <f>F$26+F$25*170/430</f>
        <v>125.18604651162791</v>
      </c>
      <c r="N55" s="479"/>
      <c r="O55" s="418">
        <f>F$26</f>
        <v>90</v>
      </c>
      <c r="P55" s="418">
        <v>0</v>
      </c>
      <c r="Q55" s="418">
        <f>F$26+260/430*F$22</f>
        <v>186.74418604651163</v>
      </c>
      <c r="R55" s="418">
        <f>F$26+260/430*F$22+F$23</f>
        <v>425.74418604651163</v>
      </c>
    </row>
    <row r="56" spans="2:19" x14ac:dyDescent="0.25">
      <c r="B56" s="422" t="s">
        <v>293</v>
      </c>
      <c r="C56" s="478">
        <f>D$25</f>
        <v>130</v>
      </c>
      <c r="D56" s="479"/>
      <c r="E56" s="478">
        <f>260/430*D$25</f>
        <v>78.604651162790688</v>
      </c>
      <c r="F56" s="479"/>
      <c r="G56" s="418">
        <v>0</v>
      </c>
      <c r="H56" s="418">
        <f>D$23</f>
        <v>262</v>
      </c>
      <c r="L56" s="422" t="s">
        <v>293</v>
      </c>
      <c r="M56" s="478">
        <f>F$25</f>
        <v>89</v>
      </c>
      <c r="N56" s="479"/>
      <c r="O56" s="478">
        <f>260/430*F$25</f>
        <v>53.813953488372093</v>
      </c>
      <c r="P56" s="479"/>
      <c r="Q56" s="418">
        <v>0</v>
      </c>
      <c r="R56" s="418">
        <f>F$23</f>
        <v>239</v>
      </c>
    </row>
    <row r="57" spans="2:19" x14ac:dyDescent="0.25">
      <c r="B57" s="422" t="s">
        <v>294</v>
      </c>
      <c r="C57" s="478">
        <f>D$24+D$25</f>
        <v>337</v>
      </c>
      <c r="D57" s="479"/>
      <c r="E57" s="478">
        <f>D$24+260/430*D$25</f>
        <v>285.60465116279067</v>
      </c>
      <c r="F57" s="479"/>
      <c r="G57" s="418">
        <f>D$24</f>
        <v>207</v>
      </c>
      <c r="H57" s="418">
        <v>0</v>
      </c>
      <c r="L57" s="422" t="s">
        <v>294</v>
      </c>
      <c r="M57" s="478">
        <f>F$24+F$25</f>
        <v>277</v>
      </c>
      <c r="N57" s="479"/>
      <c r="O57" s="478">
        <f>F$24+260/430*F$25</f>
        <v>241.81395348837208</v>
      </c>
      <c r="P57" s="479"/>
      <c r="Q57" s="418">
        <f>F$24</f>
        <v>188</v>
      </c>
      <c r="R57" s="418">
        <v>0</v>
      </c>
    </row>
    <row r="59" spans="2:19" x14ac:dyDescent="0.25">
      <c r="B59" s="460" t="s">
        <v>331</v>
      </c>
      <c r="C59" s="422" t="s">
        <v>289</v>
      </c>
      <c r="D59" s="422" t="s">
        <v>290</v>
      </c>
      <c r="E59" s="422" t="s">
        <v>291</v>
      </c>
      <c r="F59" s="422" t="s">
        <v>292</v>
      </c>
      <c r="G59" s="422" t="s">
        <v>293</v>
      </c>
      <c r="H59" s="422" t="s">
        <v>294</v>
      </c>
      <c r="I59" s="357"/>
      <c r="L59" s="460" t="s">
        <v>332</v>
      </c>
      <c r="M59" s="422" t="s">
        <v>289</v>
      </c>
      <c r="N59" s="422" t="s">
        <v>290</v>
      </c>
      <c r="O59" s="422" t="s">
        <v>291</v>
      </c>
      <c r="P59" s="422" t="s">
        <v>292</v>
      </c>
      <c r="Q59" s="422" t="s">
        <v>293</v>
      </c>
      <c r="R59" s="422" t="s">
        <v>294</v>
      </c>
      <c r="S59" s="357"/>
    </row>
    <row r="60" spans="2:19" x14ac:dyDescent="0.25">
      <c r="B60" s="422" t="s">
        <v>289</v>
      </c>
      <c r="C60" s="377">
        <f>M42*C52/3600</f>
        <v>0</v>
      </c>
      <c r="D60" s="377">
        <f t="shared" ref="D60:H60" si="34">N42*D52/3600</f>
        <v>0.68794444444444447</v>
      </c>
      <c r="E60" s="481">
        <f t="shared" si="34"/>
        <v>8.5187209302325577</v>
      </c>
      <c r="F60" s="482">
        <f t="shared" si="34"/>
        <v>0</v>
      </c>
      <c r="G60" s="377">
        <f t="shared" si="34"/>
        <v>2.6839999999999997</v>
      </c>
      <c r="H60" s="377">
        <f t="shared" si="34"/>
        <v>33.448333333333331</v>
      </c>
      <c r="I60" s="377">
        <f>SUM(C60:H60)</f>
        <v>45.33899870801033</v>
      </c>
      <c r="L60" s="422" t="s">
        <v>289</v>
      </c>
      <c r="M60" s="377">
        <f>M42*M52/3600</f>
        <v>0</v>
      </c>
      <c r="N60" s="377">
        <f t="shared" ref="N60:R60" si="35">N42*N52/3600</f>
        <v>0.5794999999999999</v>
      </c>
      <c r="O60" s="481">
        <f t="shared" si="35"/>
        <v>7.1448023255813951</v>
      </c>
      <c r="P60" s="482">
        <f t="shared" si="35"/>
        <v>0</v>
      </c>
      <c r="Q60" s="377">
        <f t="shared" si="35"/>
        <v>2.2434444444444441</v>
      </c>
      <c r="R60" s="377">
        <f t="shared" si="35"/>
        <v>28.975000000000001</v>
      </c>
      <c r="S60" s="377">
        <f>SUM(M60:R60)</f>
        <v>38.942746770025842</v>
      </c>
    </row>
    <row r="61" spans="2:19" x14ac:dyDescent="0.25">
      <c r="B61" s="422" t="s">
        <v>290</v>
      </c>
      <c r="C61" s="377">
        <f t="shared" ref="C61:H65" si="36">M43*C53/3600</f>
        <v>0.68455555555555547</v>
      </c>
      <c r="D61" s="377">
        <f t="shared" si="36"/>
        <v>0</v>
      </c>
      <c r="E61" s="481">
        <f t="shared" si="36"/>
        <v>0</v>
      </c>
      <c r="F61" s="482">
        <f t="shared" si="36"/>
        <v>0</v>
      </c>
      <c r="G61" s="377">
        <f t="shared" si="36"/>
        <v>0</v>
      </c>
      <c r="H61" s="377">
        <f t="shared" si="36"/>
        <v>0</v>
      </c>
      <c r="I61" s="377">
        <f t="shared" ref="I61:I66" si="37">SUM(C61:H61)</f>
        <v>0.68455555555555547</v>
      </c>
      <c r="L61" s="422" t="s">
        <v>290</v>
      </c>
      <c r="M61" s="377">
        <f t="shared" ref="M61:R65" si="38">M43*M53/3600</f>
        <v>0.14233333333333334</v>
      </c>
      <c r="N61" s="377">
        <f t="shared" si="38"/>
        <v>0</v>
      </c>
      <c r="O61" s="481">
        <f t="shared" si="38"/>
        <v>0</v>
      </c>
      <c r="P61" s="482">
        <f t="shared" si="38"/>
        <v>0</v>
      </c>
      <c r="Q61" s="377">
        <f t="shared" si="38"/>
        <v>0</v>
      </c>
      <c r="R61" s="377">
        <f t="shared" si="38"/>
        <v>0</v>
      </c>
      <c r="S61" s="377">
        <f t="shared" ref="S61:S66" si="39">SUM(M61:R61)</f>
        <v>0.14233333333333334</v>
      </c>
    </row>
    <row r="62" spans="2:19" x14ac:dyDescent="0.25">
      <c r="B62" s="422" t="s">
        <v>291</v>
      </c>
      <c r="C62" s="481">
        <f t="shared" si="36"/>
        <v>0</v>
      </c>
      <c r="D62" s="482">
        <f t="shared" si="36"/>
        <v>0</v>
      </c>
      <c r="E62" s="377">
        <f t="shared" si="36"/>
        <v>0</v>
      </c>
      <c r="F62" s="377">
        <f t="shared" si="36"/>
        <v>0</v>
      </c>
      <c r="G62" s="377">
        <f t="shared" si="36"/>
        <v>0</v>
      </c>
      <c r="H62" s="377">
        <f t="shared" si="36"/>
        <v>0</v>
      </c>
      <c r="I62" s="377">
        <f t="shared" si="37"/>
        <v>0</v>
      </c>
      <c r="L62" s="422" t="s">
        <v>291</v>
      </c>
      <c r="M62" s="481">
        <f t="shared" si="38"/>
        <v>0</v>
      </c>
      <c r="N62" s="482">
        <f t="shared" si="38"/>
        <v>0</v>
      </c>
      <c r="O62" s="377">
        <f t="shared" si="38"/>
        <v>0</v>
      </c>
      <c r="P62" s="377">
        <f t="shared" si="38"/>
        <v>0</v>
      </c>
      <c r="Q62" s="377">
        <f t="shared" si="38"/>
        <v>0</v>
      </c>
      <c r="R62" s="377">
        <f t="shared" si="38"/>
        <v>0</v>
      </c>
      <c r="S62" s="377">
        <f t="shared" si="39"/>
        <v>0</v>
      </c>
    </row>
    <row r="63" spans="2:19" x14ac:dyDescent="0.25">
      <c r="B63" s="422" t="s">
        <v>292</v>
      </c>
      <c r="C63" s="481">
        <f t="shared" si="36"/>
        <v>3.3304896640826867</v>
      </c>
      <c r="D63" s="482">
        <f t="shared" si="36"/>
        <v>0</v>
      </c>
      <c r="E63" s="377">
        <f t="shared" si="36"/>
        <v>0</v>
      </c>
      <c r="F63" s="377">
        <f t="shared" si="36"/>
        <v>0</v>
      </c>
      <c r="G63" s="377">
        <f t="shared" si="36"/>
        <v>0</v>
      </c>
      <c r="H63" s="377">
        <f t="shared" si="36"/>
        <v>0</v>
      </c>
      <c r="I63" s="377">
        <f t="shared" si="37"/>
        <v>3.3304896640826867</v>
      </c>
      <c r="L63" s="422" t="s">
        <v>292</v>
      </c>
      <c r="M63" s="481">
        <f t="shared" si="38"/>
        <v>2.9696912144702838</v>
      </c>
      <c r="N63" s="482">
        <f t="shared" si="38"/>
        <v>0</v>
      </c>
      <c r="O63" s="377">
        <f t="shared" si="38"/>
        <v>0</v>
      </c>
      <c r="P63" s="377">
        <f t="shared" si="38"/>
        <v>0</v>
      </c>
      <c r="Q63" s="377">
        <f t="shared" si="38"/>
        <v>0</v>
      </c>
      <c r="R63" s="377">
        <f t="shared" si="38"/>
        <v>0</v>
      </c>
      <c r="S63" s="377">
        <f t="shared" si="39"/>
        <v>2.9696912144702838</v>
      </c>
    </row>
    <row r="64" spans="2:19" x14ac:dyDescent="0.25">
      <c r="B64" s="422" t="s">
        <v>293</v>
      </c>
      <c r="C64" s="481">
        <f t="shared" si="36"/>
        <v>0</v>
      </c>
      <c r="D64" s="482">
        <f t="shared" si="36"/>
        <v>0</v>
      </c>
      <c r="E64" s="481">
        <f t="shared" si="36"/>
        <v>0</v>
      </c>
      <c r="F64" s="482">
        <f t="shared" si="36"/>
        <v>0</v>
      </c>
      <c r="G64" s="377">
        <f t="shared" si="36"/>
        <v>0</v>
      </c>
      <c r="H64" s="377">
        <f t="shared" si="36"/>
        <v>0</v>
      </c>
      <c r="I64" s="377">
        <f t="shared" si="37"/>
        <v>0</v>
      </c>
      <c r="L64" s="422" t="s">
        <v>293</v>
      </c>
      <c r="M64" s="481">
        <f t="shared" si="38"/>
        <v>0</v>
      </c>
      <c r="N64" s="482">
        <f t="shared" si="38"/>
        <v>0</v>
      </c>
      <c r="O64" s="481">
        <f t="shared" si="38"/>
        <v>0</v>
      </c>
      <c r="P64" s="482">
        <f t="shared" si="38"/>
        <v>0</v>
      </c>
      <c r="Q64" s="481">
        <f t="shared" si="38"/>
        <v>0</v>
      </c>
      <c r="R64" s="482">
        <f t="shared" si="38"/>
        <v>0</v>
      </c>
      <c r="S64" s="377">
        <f t="shared" si="39"/>
        <v>0</v>
      </c>
    </row>
    <row r="65" spans="2:19" x14ac:dyDescent="0.25">
      <c r="B65" s="422" t="s">
        <v>294</v>
      </c>
      <c r="C65" s="481">
        <f t="shared" si="36"/>
        <v>12.56261111111111</v>
      </c>
      <c r="D65" s="482">
        <f t="shared" si="36"/>
        <v>0</v>
      </c>
      <c r="E65" s="481">
        <f t="shared" si="36"/>
        <v>6.7751770025839777</v>
      </c>
      <c r="F65" s="482">
        <f t="shared" si="36"/>
        <v>0</v>
      </c>
      <c r="G65" s="377">
        <f t="shared" si="36"/>
        <v>0</v>
      </c>
      <c r="H65" s="377">
        <f t="shared" si="36"/>
        <v>0</v>
      </c>
      <c r="I65" s="377">
        <f t="shared" si="37"/>
        <v>19.337788113695087</v>
      </c>
      <c r="L65" s="422" t="s">
        <v>294</v>
      </c>
      <c r="M65" s="481">
        <f t="shared" si="38"/>
        <v>10.325944444444444</v>
      </c>
      <c r="N65" s="482">
        <f t="shared" si="38"/>
        <v>0</v>
      </c>
      <c r="O65" s="481">
        <f t="shared" si="38"/>
        <v>5.7363643410852712</v>
      </c>
      <c r="P65" s="482">
        <f t="shared" si="38"/>
        <v>0</v>
      </c>
      <c r="Q65" s="481">
        <f t="shared" si="38"/>
        <v>0</v>
      </c>
      <c r="R65" s="482">
        <f t="shared" si="38"/>
        <v>0</v>
      </c>
      <c r="S65" s="377">
        <f t="shared" si="39"/>
        <v>16.062308785529716</v>
      </c>
    </row>
    <row r="66" spans="2:19" x14ac:dyDescent="0.25">
      <c r="B66" s="357"/>
      <c r="C66" s="481">
        <f>SUM(C60:D65)</f>
        <v>17.265600775193796</v>
      </c>
      <c r="D66" s="482"/>
      <c r="E66" s="377">
        <f t="shared" ref="E66:H66" si="40">SUM(E60:E65)</f>
        <v>15.293897932816535</v>
      </c>
      <c r="F66" s="377">
        <f t="shared" si="40"/>
        <v>0</v>
      </c>
      <c r="G66" s="377">
        <f t="shared" si="40"/>
        <v>2.6839999999999997</v>
      </c>
      <c r="H66" s="377">
        <f t="shared" si="40"/>
        <v>33.448333333333331</v>
      </c>
      <c r="I66" s="457">
        <f t="shared" si="37"/>
        <v>68.691832041343659</v>
      </c>
      <c r="L66" s="357"/>
      <c r="M66" s="481">
        <f>SUM(M60:N65)</f>
        <v>14.017468992248061</v>
      </c>
      <c r="N66" s="482"/>
      <c r="O66" s="377">
        <f t="shared" ref="O66:R66" si="41">SUM(O60:O65)</f>
        <v>12.881166666666665</v>
      </c>
      <c r="P66" s="377">
        <f t="shared" si="41"/>
        <v>0</v>
      </c>
      <c r="Q66" s="377">
        <f t="shared" si="41"/>
        <v>2.2434444444444441</v>
      </c>
      <c r="R66" s="377">
        <f t="shared" si="41"/>
        <v>28.975000000000001</v>
      </c>
      <c r="S66" s="457">
        <f t="shared" si="39"/>
        <v>58.117080103359172</v>
      </c>
    </row>
  </sheetData>
  <mergeCells count="93">
    <mergeCell ref="I4:N4"/>
    <mergeCell ref="O4:T4"/>
    <mergeCell ref="U4:Z4"/>
    <mergeCell ref="C5:D5"/>
    <mergeCell ref="E5:F5"/>
    <mergeCell ref="G5:H5"/>
    <mergeCell ref="I5:J5"/>
    <mergeCell ref="K5:L5"/>
    <mergeCell ref="Y5:Z5"/>
    <mergeCell ref="M5:N5"/>
    <mergeCell ref="O5:P5"/>
    <mergeCell ref="Q5:R5"/>
    <mergeCell ref="S5:T5"/>
    <mergeCell ref="U5:V5"/>
    <mergeCell ref="W5:X5"/>
    <mergeCell ref="U17:V17"/>
    <mergeCell ref="W17:X17"/>
    <mergeCell ref="Y17:Z17"/>
    <mergeCell ref="B18:B20"/>
    <mergeCell ref="C18:H18"/>
    <mergeCell ref="C19:D19"/>
    <mergeCell ref="E19:F19"/>
    <mergeCell ref="G19:H19"/>
    <mergeCell ref="B4:B6"/>
    <mergeCell ref="C45:D45"/>
    <mergeCell ref="E33:F33"/>
    <mergeCell ref="E34:F34"/>
    <mergeCell ref="C35:D35"/>
    <mergeCell ref="C36:D36"/>
    <mergeCell ref="C37:D37"/>
    <mergeCell ref="E37:F37"/>
    <mergeCell ref="C38:D38"/>
    <mergeCell ref="E38:F38"/>
    <mergeCell ref="E42:F42"/>
    <mergeCell ref="E43:F43"/>
    <mergeCell ref="C44:D44"/>
    <mergeCell ref="C4:H4"/>
    <mergeCell ref="C46:D46"/>
    <mergeCell ref="E46:F46"/>
    <mergeCell ref="C47:D47"/>
    <mergeCell ref="E47:F47"/>
    <mergeCell ref="C48:D48"/>
    <mergeCell ref="E48:F48"/>
    <mergeCell ref="C49:D49"/>
    <mergeCell ref="E49:F49"/>
    <mergeCell ref="E52:F52"/>
    <mergeCell ref="O52:P52"/>
    <mergeCell ref="E53:F53"/>
    <mergeCell ref="O53:P53"/>
    <mergeCell ref="M49:N49"/>
    <mergeCell ref="O49:P49"/>
    <mergeCell ref="E60:F60"/>
    <mergeCell ref="O60:P60"/>
    <mergeCell ref="C54:D54"/>
    <mergeCell ref="M54:N54"/>
    <mergeCell ref="C55:D55"/>
    <mergeCell ref="M55:N55"/>
    <mergeCell ref="C56:D56"/>
    <mergeCell ref="E56:F56"/>
    <mergeCell ref="M56:N56"/>
    <mergeCell ref="O56:P56"/>
    <mergeCell ref="C57:D57"/>
    <mergeCell ref="E57:F57"/>
    <mergeCell ref="M57:N57"/>
    <mergeCell ref="O57:P57"/>
    <mergeCell ref="E61:F61"/>
    <mergeCell ref="O61:P61"/>
    <mergeCell ref="C62:D62"/>
    <mergeCell ref="M62:N62"/>
    <mergeCell ref="C63:D63"/>
    <mergeCell ref="M63:N63"/>
    <mergeCell ref="O64:P64"/>
    <mergeCell ref="Q64:R64"/>
    <mergeCell ref="C65:D65"/>
    <mergeCell ref="E65:F65"/>
    <mergeCell ref="M65:N65"/>
    <mergeCell ref="O65:P65"/>
    <mergeCell ref="Q65:R65"/>
    <mergeCell ref="C66:D66"/>
    <mergeCell ref="M66:N66"/>
    <mergeCell ref="C64:D64"/>
    <mergeCell ref="E64:F64"/>
    <mergeCell ref="M64:N64"/>
    <mergeCell ref="M47:N47"/>
    <mergeCell ref="O47:P47"/>
    <mergeCell ref="M48:N48"/>
    <mergeCell ref="O48:P48"/>
    <mergeCell ref="O42:P42"/>
    <mergeCell ref="O43:P43"/>
    <mergeCell ref="M44:N44"/>
    <mergeCell ref="M45:N45"/>
    <mergeCell ref="M46:N46"/>
    <mergeCell ref="O46:P4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6"/>
  <sheetViews>
    <sheetView zoomScale="85" zoomScaleNormal="85" workbookViewId="0">
      <selection activeCell="L27" sqref="L27"/>
    </sheetView>
  </sheetViews>
  <sheetFormatPr defaultRowHeight="15" x14ac:dyDescent="0.25"/>
  <cols>
    <col min="1" max="1" width="4.7109375" customWidth="1"/>
    <col min="2" max="2" width="13.140625" customWidth="1"/>
    <col min="3" max="3" width="9.5703125" bestFit="1" customWidth="1"/>
    <col min="12" max="12" width="12.7109375" customWidth="1"/>
  </cols>
  <sheetData>
    <row r="1" spans="2:26" ht="14.45" x14ac:dyDescent="0.3">
      <c r="B1" s="408" t="str">
        <f>Cost_Estimate!C2</f>
        <v>Chesterfield Road - Heeley Bridge / Broadfield Road</v>
      </c>
    </row>
    <row r="3" spans="2:26" thickBot="1" x14ac:dyDescent="0.35"/>
    <row r="4" spans="2:26" x14ac:dyDescent="0.25">
      <c r="B4" s="467" t="s">
        <v>241</v>
      </c>
      <c r="C4" s="461" t="s">
        <v>247</v>
      </c>
      <c r="D4" s="462"/>
      <c r="E4" s="462"/>
      <c r="F4" s="462"/>
      <c r="G4" s="462"/>
      <c r="H4" s="463"/>
      <c r="I4" s="470" t="s">
        <v>248</v>
      </c>
      <c r="J4" s="462"/>
      <c r="K4" s="462"/>
      <c r="L4" s="462"/>
      <c r="M4" s="462"/>
      <c r="N4" s="463"/>
      <c r="O4" s="470" t="s">
        <v>285</v>
      </c>
      <c r="P4" s="462"/>
      <c r="Q4" s="462"/>
      <c r="R4" s="462"/>
      <c r="S4" s="462"/>
      <c r="T4" s="463"/>
      <c r="U4" s="461" t="s">
        <v>286</v>
      </c>
      <c r="V4" s="462"/>
      <c r="W4" s="462"/>
      <c r="X4" s="462"/>
      <c r="Y4" s="462"/>
      <c r="Z4" s="463"/>
    </row>
    <row r="5" spans="2:26" x14ac:dyDescent="0.25">
      <c r="B5" s="468"/>
      <c r="C5" s="464" t="s">
        <v>244</v>
      </c>
      <c r="D5" s="465"/>
      <c r="E5" s="465" t="s">
        <v>245</v>
      </c>
      <c r="F5" s="465"/>
      <c r="G5" s="465" t="s">
        <v>246</v>
      </c>
      <c r="H5" s="466"/>
      <c r="I5" s="471" t="s">
        <v>244</v>
      </c>
      <c r="J5" s="465"/>
      <c r="K5" s="465" t="s">
        <v>245</v>
      </c>
      <c r="L5" s="465"/>
      <c r="M5" s="465" t="s">
        <v>246</v>
      </c>
      <c r="N5" s="466"/>
      <c r="O5" s="471" t="s">
        <v>244</v>
      </c>
      <c r="P5" s="465"/>
      <c r="Q5" s="465" t="s">
        <v>245</v>
      </c>
      <c r="R5" s="465"/>
      <c r="S5" s="465" t="s">
        <v>246</v>
      </c>
      <c r="T5" s="466"/>
      <c r="U5" s="464" t="s">
        <v>244</v>
      </c>
      <c r="V5" s="465"/>
      <c r="W5" s="465" t="s">
        <v>245</v>
      </c>
      <c r="X5" s="465"/>
      <c r="Y5" s="465" t="s">
        <v>246</v>
      </c>
      <c r="Z5" s="466"/>
    </row>
    <row r="6" spans="2:26" ht="15.75" thickBot="1" x14ac:dyDescent="0.3">
      <c r="B6" s="469"/>
      <c r="C6" s="348" t="s">
        <v>92</v>
      </c>
      <c r="D6" s="349" t="s">
        <v>90</v>
      </c>
      <c r="E6" s="349" t="s">
        <v>92</v>
      </c>
      <c r="F6" s="349" t="s">
        <v>90</v>
      </c>
      <c r="G6" s="349" t="s">
        <v>92</v>
      </c>
      <c r="H6" s="350" t="s">
        <v>90</v>
      </c>
      <c r="I6" s="351" t="s">
        <v>92</v>
      </c>
      <c r="J6" s="349" t="s">
        <v>90</v>
      </c>
      <c r="K6" s="349" t="s">
        <v>92</v>
      </c>
      <c r="L6" s="349" t="s">
        <v>90</v>
      </c>
      <c r="M6" s="349" t="s">
        <v>92</v>
      </c>
      <c r="N6" s="350" t="s">
        <v>90</v>
      </c>
      <c r="O6" s="351" t="s">
        <v>92</v>
      </c>
      <c r="P6" s="349" t="s">
        <v>90</v>
      </c>
      <c r="Q6" s="349" t="s">
        <v>92</v>
      </c>
      <c r="R6" s="349" t="s">
        <v>90</v>
      </c>
      <c r="S6" s="349" t="s">
        <v>92</v>
      </c>
      <c r="T6" s="350" t="s">
        <v>90</v>
      </c>
      <c r="U6" s="348" t="s">
        <v>92</v>
      </c>
      <c r="V6" s="349" t="s">
        <v>90</v>
      </c>
      <c r="W6" s="349" t="s">
        <v>92</v>
      </c>
      <c r="X6" s="349" t="s">
        <v>90</v>
      </c>
      <c r="Y6" s="349" t="s">
        <v>92</v>
      </c>
      <c r="Z6" s="350" t="s">
        <v>90</v>
      </c>
    </row>
    <row r="7" spans="2:26" ht="14.45" x14ac:dyDescent="0.3">
      <c r="B7" s="409">
        <v>1</v>
      </c>
      <c r="C7" s="352">
        <v>361</v>
      </c>
      <c r="D7" s="353">
        <v>29</v>
      </c>
      <c r="E7" s="353">
        <v>361</v>
      </c>
      <c r="F7" s="353">
        <v>29</v>
      </c>
      <c r="G7" s="353">
        <f>E7-C7</f>
        <v>0</v>
      </c>
      <c r="H7" s="354">
        <f t="shared" ref="H7:H14" si="0">F7-D7</f>
        <v>0</v>
      </c>
      <c r="I7" s="355">
        <v>62</v>
      </c>
      <c r="J7" s="353">
        <v>174</v>
      </c>
      <c r="K7" s="353">
        <v>64</v>
      </c>
      <c r="L7" s="353">
        <v>178</v>
      </c>
      <c r="M7" s="353">
        <f>K7-I7</f>
        <v>2</v>
      </c>
      <c r="N7" s="354">
        <f t="shared" ref="N7:N15" si="1">L7-J7</f>
        <v>4</v>
      </c>
      <c r="O7" s="355">
        <f>C7*I7</f>
        <v>22382</v>
      </c>
      <c r="P7" s="355">
        <f t="shared" ref="P7:R14" si="2">D7*J7</f>
        <v>5046</v>
      </c>
      <c r="Q7" s="355">
        <f t="shared" si="2"/>
        <v>23104</v>
      </c>
      <c r="R7" s="355">
        <f t="shared" si="2"/>
        <v>5162</v>
      </c>
      <c r="S7" s="353">
        <f>Q7-O7</f>
        <v>722</v>
      </c>
      <c r="T7" s="354">
        <f t="shared" ref="T7:T14" si="3">R7-P7</f>
        <v>116</v>
      </c>
      <c r="U7" s="373">
        <f t="shared" ref="U7:X14" si="4">O7/60</f>
        <v>373.03333333333336</v>
      </c>
      <c r="V7" s="374">
        <f t="shared" si="4"/>
        <v>84.1</v>
      </c>
      <c r="W7" s="374">
        <f t="shared" si="4"/>
        <v>385.06666666666666</v>
      </c>
      <c r="X7" s="374">
        <f t="shared" si="4"/>
        <v>86.033333333333331</v>
      </c>
      <c r="Y7" s="375">
        <f>W7-U7</f>
        <v>12.033333333333303</v>
      </c>
      <c r="Z7" s="376">
        <f t="shared" ref="Z7:Z14" si="5">X7-V7</f>
        <v>1.9333333333333371</v>
      </c>
    </row>
    <row r="8" spans="2:26" ht="14.45" x14ac:dyDescent="0.3">
      <c r="B8" s="410">
        <v>2</v>
      </c>
      <c r="C8" s="356">
        <v>282</v>
      </c>
      <c r="D8" s="357">
        <v>17</v>
      </c>
      <c r="E8" s="357">
        <v>284</v>
      </c>
      <c r="F8" s="357">
        <v>17</v>
      </c>
      <c r="G8" s="357">
        <f t="shared" ref="G8:G14" si="6">E8-C8</f>
        <v>2</v>
      </c>
      <c r="H8" s="358">
        <f t="shared" si="0"/>
        <v>0</v>
      </c>
      <c r="I8" s="359">
        <v>80</v>
      </c>
      <c r="J8" s="357">
        <v>119</v>
      </c>
      <c r="K8" s="357">
        <v>76</v>
      </c>
      <c r="L8" s="357">
        <v>113</v>
      </c>
      <c r="M8" s="357">
        <f t="shared" ref="M8:M15" si="7">K8-I8</f>
        <v>-4</v>
      </c>
      <c r="N8" s="358">
        <f t="shared" si="1"/>
        <v>-6</v>
      </c>
      <c r="O8" s="355">
        <f t="shared" ref="O8:O14" si="8">C8*I8</f>
        <v>22560</v>
      </c>
      <c r="P8" s="355">
        <f t="shared" si="2"/>
        <v>2023</v>
      </c>
      <c r="Q8" s="355">
        <f t="shared" si="2"/>
        <v>21584</v>
      </c>
      <c r="R8" s="355">
        <f t="shared" si="2"/>
        <v>1921</v>
      </c>
      <c r="S8" s="357">
        <f t="shared" ref="S8:S14" si="9">Q8-O8</f>
        <v>-976</v>
      </c>
      <c r="T8" s="358">
        <f t="shared" si="3"/>
        <v>-102</v>
      </c>
      <c r="U8" s="373">
        <f t="shared" si="4"/>
        <v>376</v>
      </c>
      <c r="V8" s="374">
        <f t="shared" si="4"/>
        <v>33.716666666666669</v>
      </c>
      <c r="W8" s="374">
        <f t="shared" si="4"/>
        <v>359.73333333333335</v>
      </c>
      <c r="X8" s="374">
        <f t="shared" si="4"/>
        <v>32.016666666666666</v>
      </c>
      <c r="Y8" s="377">
        <f t="shared" ref="Y8:Y14" si="10">W8-U8</f>
        <v>-16.266666666666652</v>
      </c>
      <c r="Z8" s="378">
        <f t="shared" si="5"/>
        <v>-1.7000000000000028</v>
      </c>
    </row>
    <row r="9" spans="2:26" ht="14.45" x14ac:dyDescent="0.3">
      <c r="B9" s="410">
        <v>3</v>
      </c>
      <c r="C9" s="356">
        <v>398</v>
      </c>
      <c r="D9" s="357">
        <v>17</v>
      </c>
      <c r="E9" s="357">
        <v>403</v>
      </c>
      <c r="F9" s="357">
        <v>17</v>
      </c>
      <c r="G9" s="357">
        <f t="shared" si="6"/>
        <v>5</v>
      </c>
      <c r="H9" s="358">
        <f t="shared" si="0"/>
        <v>0</v>
      </c>
      <c r="I9" s="359">
        <v>92</v>
      </c>
      <c r="J9" s="357">
        <v>119</v>
      </c>
      <c r="K9" s="357">
        <v>102</v>
      </c>
      <c r="L9" s="357">
        <v>126</v>
      </c>
      <c r="M9" s="357">
        <f t="shared" si="7"/>
        <v>10</v>
      </c>
      <c r="N9" s="358">
        <f t="shared" si="1"/>
        <v>7</v>
      </c>
      <c r="O9" s="355">
        <f t="shared" si="8"/>
        <v>36616</v>
      </c>
      <c r="P9" s="355">
        <f t="shared" si="2"/>
        <v>2023</v>
      </c>
      <c r="Q9" s="355">
        <f t="shared" si="2"/>
        <v>41106</v>
      </c>
      <c r="R9" s="355">
        <f t="shared" si="2"/>
        <v>2142</v>
      </c>
      <c r="S9" s="357">
        <f t="shared" si="9"/>
        <v>4490</v>
      </c>
      <c r="T9" s="358">
        <f t="shared" si="3"/>
        <v>119</v>
      </c>
      <c r="U9" s="373">
        <f t="shared" si="4"/>
        <v>610.26666666666665</v>
      </c>
      <c r="V9" s="374">
        <f t="shared" si="4"/>
        <v>33.716666666666669</v>
      </c>
      <c r="W9" s="374">
        <f t="shared" si="4"/>
        <v>685.1</v>
      </c>
      <c r="X9" s="374">
        <f t="shared" si="4"/>
        <v>35.700000000000003</v>
      </c>
      <c r="Y9" s="377">
        <f t="shared" si="10"/>
        <v>74.833333333333371</v>
      </c>
      <c r="Z9" s="378">
        <f t="shared" si="5"/>
        <v>1.9833333333333343</v>
      </c>
    </row>
    <row r="10" spans="2:26" ht="14.45" x14ac:dyDescent="0.3">
      <c r="B10" s="411">
        <v>4</v>
      </c>
      <c r="C10" s="356">
        <v>869</v>
      </c>
      <c r="D10" s="357">
        <v>22</v>
      </c>
      <c r="E10" s="357">
        <v>872</v>
      </c>
      <c r="F10" s="357">
        <v>23</v>
      </c>
      <c r="G10" s="357">
        <f t="shared" si="6"/>
        <v>3</v>
      </c>
      <c r="H10" s="358">
        <f t="shared" si="0"/>
        <v>1</v>
      </c>
      <c r="I10" s="359">
        <v>256</v>
      </c>
      <c r="J10" s="357">
        <v>334</v>
      </c>
      <c r="K10" s="357">
        <v>227</v>
      </c>
      <c r="L10" s="357">
        <v>310</v>
      </c>
      <c r="M10" s="357">
        <f t="shared" si="7"/>
        <v>-29</v>
      </c>
      <c r="N10" s="358">
        <f t="shared" si="1"/>
        <v>-24</v>
      </c>
      <c r="O10" s="355">
        <f t="shared" si="8"/>
        <v>222464</v>
      </c>
      <c r="P10" s="355">
        <f t="shared" si="2"/>
        <v>7348</v>
      </c>
      <c r="Q10" s="355">
        <f t="shared" si="2"/>
        <v>197944</v>
      </c>
      <c r="R10" s="355">
        <f t="shared" si="2"/>
        <v>7130</v>
      </c>
      <c r="S10" s="357">
        <f t="shared" si="9"/>
        <v>-24520</v>
      </c>
      <c r="T10" s="358">
        <f t="shared" si="3"/>
        <v>-218</v>
      </c>
      <c r="U10" s="373">
        <f t="shared" si="4"/>
        <v>3707.7333333333331</v>
      </c>
      <c r="V10" s="374">
        <f t="shared" si="4"/>
        <v>122.46666666666667</v>
      </c>
      <c r="W10" s="374">
        <f t="shared" si="4"/>
        <v>3299.0666666666666</v>
      </c>
      <c r="X10" s="374">
        <f t="shared" si="4"/>
        <v>118.83333333333333</v>
      </c>
      <c r="Y10" s="377">
        <f t="shared" si="10"/>
        <v>-408.66666666666652</v>
      </c>
      <c r="Z10" s="378">
        <f t="shared" si="5"/>
        <v>-3.63333333333334</v>
      </c>
    </row>
    <row r="11" spans="2:26" ht="14.45" x14ac:dyDescent="0.3">
      <c r="B11" s="411">
        <v>5</v>
      </c>
      <c r="C11" s="356">
        <v>897</v>
      </c>
      <c r="D11" s="357">
        <v>21</v>
      </c>
      <c r="E11" s="357">
        <v>883</v>
      </c>
      <c r="F11" s="357">
        <v>23</v>
      </c>
      <c r="G11" s="357">
        <f t="shared" si="6"/>
        <v>-14</v>
      </c>
      <c r="H11" s="358">
        <f t="shared" si="0"/>
        <v>2</v>
      </c>
      <c r="I11" s="359">
        <v>112</v>
      </c>
      <c r="J11" s="357">
        <v>136</v>
      </c>
      <c r="K11" s="357">
        <v>118</v>
      </c>
      <c r="L11" s="357">
        <v>133</v>
      </c>
      <c r="M11" s="357">
        <f t="shared" si="7"/>
        <v>6</v>
      </c>
      <c r="N11" s="358">
        <f t="shared" si="1"/>
        <v>-3</v>
      </c>
      <c r="O11" s="355">
        <f t="shared" si="8"/>
        <v>100464</v>
      </c>
      <c r="P11" s="355">
        <f t="shared" si="2"/>
        <v>2856</v>
      </c>
      <c r="Q11" s="355">
        <f t="shared" si="2"/>
        <v>104194</v>
      </c>
      <c r="R11" s="355">
        <f t="shared" si="2"/>
        <v>3059</v>
      </c>
      <c r="S11" s="357">
        <f t="shared" si="9"/>
        <v>3730</v>
      </c>
      <c r="T11" s="358">
        <f t="shared" si="3"/>
        <v>203</v>
      </c>
      <c r="U11" s="373">
        <f t="shared" si="4"/>
        <v>1674.4</v>
      </c>
      <c r="V11" s="374">
        <f t="shared" si="4"/>
        <v>47.6</v>
      </c>
      <c r="W11" s="374">
        <f t="shared" si="4"/>
        <v>1736.5666666666666</v>
      </c>
      <c r="X11" s="374">
        <f t="shared" si="4"/>
        <v>50.983333333333334</v>
      </c>
      <c r="Y11" s="377">
        <f t="shared" si="10"/>
        <v>62.166666666666515</v>
      </c>
      <c r="Z11" s="378">
        <f t="shared" si="5"/>
        <v>3.3833333333333329</v>
      </c>
    </row>
    <row r="12" spans="2:26" ht="14.45" x14ac:dyDescent="0.3">
      <c r="B12" s="412">
        <v>6</v>
      </c>
      <c r="C12" s="356">
        <v>0</v>
      </c>
      <c r="D12" s="357">
        <v>7</v>
      </c>
      <c r="E12" s="357">
        <v>0</v>
      </c>
      <c r="F12" s="357">
        <v>7</v>
      </c>
      <c r="G12" s="357">
        <f t="shared" si="6"/>
        <v>0</v>
      </c>
      <c r="H12" s="358">
        <f t="shared" si="0"/>
        <v>0</v>
      </c>
      <c r="I12" s="359">
        <v>0</v>
      </c>
      <c r="J12" s="357">
        <v>116</v>
      </c>
      <c r="K12" s="357">
        <v>0</v>
      </c>
      <c r="L12" s="357">
        <v>124</v>
      </c>
      <c r="M12" s="357">
        <f t="shared" si="7"/>
        <v>0</v>
      </c>
      <c r="N12" s="358">
        <f t="shared" si="1"/>
        <v>8</v>
      </c>
      <c r="O12" s="355">
        <f t="shared" si="8"/>
        <v>0</v>
      </c>
      <c r="P12" s="355">
        <f t="shared" si="2"/>
        <v>812</v>
      </c>
      <c r="Q12" s="355">
        <f t="shared" si="2"/>
        <v>0</v>
      </c>
      <c r="R12" s="355">
        <f t="shared" si="2"/>
        <v>868</v>
      </c>
      <c r="S12" s="357">
        <f t="shared" si="9"/>
        <v>0</v>
      </c>
      <c r="T12" s="358">
        <f t="shared" si="3"/>
        <v>56</v>
      </c>
      <c r="U12" s="373">
        <f t="shared" si="4"/>
        <v>0</v>
      </c>
      <c r="V12" s="374">
        <f t="shared" si="4"/>
        <v>13.533333333333333</v>
      </c>
      <c r="W12" s="374">
        <f t="shared" si="4"/>
        <v>0</v>
      </c>
      <c r="X12" s="374">
        <f t="shared" si="4"/>
        <v>14.466666666666667</v>
      </c>
      <c r="Y12" s="377">
        <f t="shared" si="10"/>
        <v>0</v>
      </c>
      <c r="Z12" s="378">
        <f t="shared" si="5"/>
        <v>0.93333333333333357</v>
      </c>
    </row>
    <row r="13" spans="2:26" ht="14.45" x14ac:dyDescent="0.3">
      <c r="B13" s="413">
        <v>7</v>
      </c>
      <c r="C13" s="356">
        <v>239</v>
      </c>
      <c r="D13" s="357">
        <v>0</v>
      </c>
      <c r="E13" s="357">
        <v>252</v>
      </c>
      <c r="F13" s="357">
        <v>0</v>
      </c>
      <c r="G13" s="357">
        <f t="shared" si="6"/>
        <v>13</v>
      </c>
      <c r="H13" s="358">
        <f t="shared" si="0"/>
        <v>0</v>
      </c>
      <c r="I13" s="359">
        <v>41</v>
      </c>
      <c r="J13" s="357">
        <v>0</v>
      </c>
      <c r="K13" s="357">
        <v>41</v>
      </c>
      <c r="L13" s="357">
        <v>0</v>
      </c>
      <c r="M13" s="357">
        <f t="shared" si="7"/>
        <v>0</v>
      </c>
      <c r="N13" s="358">
        <f t="shared" si="1"/>
        <v>0</v>
      </c>
      <c r="O13" s="355">
        <f t="shared" si="8"/>
        <v>9799</v>
      </c>
      <c r="P13" s="355">
        <f t="shared" si="2"/>
        <v>0</v>
      </c>
      <c r="Q13" s="355">
        <f t="shared" si="2"/>
        <v>10332</v>
      </c>
      <c r="R13" s="355">
        <f t="shared" si="2"/>
        <v>0</v>
      </c>
      <c r="S13" s="357">
        <f t="shared" si="9"/>
        <v>533</v>
      </c>
      <c r="T13" s="358">
        <f t="shared" si="3"/>
        <v>0</v>
      </c>
      <c r="U13" s="373">
        <f t="shared" si="4"/>
        <v>163.31666666666666</v>
      </c>
      <c r="V13" s="374">
        <f t="shared" si="4"/>
        <v>0</v>
      </c>
      <c r="W13" s="374">
        <f t="shared" si="4"/>
        <v>172.2</v>
      </c>
      <c r="X13" s="374">
        <f t="shared" si="4"/>
        <v>0</v>
      </c>
      <c r="Y13" s="377">
        <f t="shared" si="10"/>
        <v>8.8833333333333258</v>
      </c>
      <c r="Z13" s="378">
        <f t="shared" si="5"/>
        <v>0</v>
      </c>
    </row>
    <row r="14" spans="2:26" thickBot="1" x14ac:dyDescent="0.35">
      <c r="B14" s="414">
        <v>8</v>
      </c>
      <c r="C14" s="360">
        <v>227</v>
      </c>
      <c r="D14" s="361">
        <v>1</v>
      </c>
      <c r="E14" s="361">
        <v>229</v>
      </c>
      <c r="F14" s="361">
        <v>1</v>
      </c>
      <c r="G14" s="361">
        <f t="shared" si="6"/>
        <v>2</v>
      </c>
      <c r="H14" s="362">
        <f t="shared" si="0"/>
        <v>0</v>
      </c>
      <c r="I14" s="363">
        <v>58</v>
      </c>
      <c r="J14" s="361">
        <v>77</v>
      </c>
      <c r="K14" s="361">
        <v>13</v>
      </c>
      <c r="L14" s="361">
        <v>42</v>
      </c>
      <c r="M14" s="361">
        <f t="shared" si="7"/>
        <v>-45</v>
      </c>
      <c r="N14" s="362">
        <f t="shared" si="1"/>
        <v>-35</v>
      </c>
      <c r="O14" s="355">
        <f t="shared" si="8"/>
        <v>13166</v>
      </c>
      <c r="P14" s="355">
        <f t="shared" si="2"/>
        <v>77</v>
      </c>
      <c r="Q14" s="355">
        <f t="shared" si="2"/>
        <v>2977</v>
      </c>
      <c r="R14" s="355">
        <f t="shared" si="2"/>
        <v>42</v>
      </c>
      <c r="S14" s="361">
        <f t="shared" si="9"/>
        <v>-10189</v>
      </c>
      <c r="T14" s="362">
        <f t="shared" si="3"/>
        <v>-35</v>
      </c>
      <c r="U14" s="373">
        <f t="shared" si="4"/>
        <v>219.43333333333334</v>
      </c>
      <c r="V14" s="374">
        <f t="shared" si="4"/>
        <v>1.2833333333333334</v>
      </c>
      <c r="W14" s="374">
        <f t="shared" si="4"/>
        <v>49.616666666666667</v>
      </c>
      <c r="X14" s="374">
        <f t="shared" si="4"/>
        <v>0.7</v>
      </c>
      <c r="Y14" s="379">
        <f t="shared" si="10"/>
        <v>-169.81666666666666</v>
      </c>
      <c r="Z14" s="380">
        <f t="shared" si="5"/>
        <v>-0.58333333333333348</v>
      </c>
    </row>
    <row r="15" spans="2:26" thickBot="1" x14ac:dyDescent="0.35">
      <c r="B15" s="364"/>
      <c r="C15" s="365">
        <f>SUM(C7:C14)</f>
        <v>3273</v>
      </c>
      <c r="D15" s="366">
        <f t="shared" ref="D15:T15" si="11">SUM(D7:D14)</f>
        <v>114</v>
      </c>
      <c r="E15" s="366">
        <f t="shared" si="11"/>
        <v>3284</v>
      </c>
      <c r="F15" s="366">
        <f t="shared" si="11"/>
        <v>117</v>
      </c>
      <c r="G15" s="366">
        <f t="shared" si="11"/>
        <v>11</v>
      </c>
      <c r="H15" s="367">
        <f t="shared" si="11"/>
        <v>3</v>
      </c>
      <c r="I15" s="368">
        <f>O15/C15</f>
        <v>130.59914451573479</v>
      </c>
      <c r="J15" s="369">
        <f t="shared" ref="J15:L15" si="12">P15/D15</f>
        <v>177.06140350877192</v>
      </c>
      <c r="K15" s="369">
        <f t="shared" si="12"/>
        <v>122.18057247259439</v>
      </c>
      <c r="L15" s="369">
        <f t="shared" si="12"/>
        <v>173.7094017094017</v>
      </c>
      <c r="M15" s="369">
        <f t="shared" si="7"/>
        <v>-8.4185720431404008</v>
      </c>
      <c r="N15" s="370">
        <f t="shared" si="1"/>
        <v>-3.352001799370214</v>
      </c>
      <c r="O15" s="371">
        <f t="shared" si="11"/>
        <v>427451</v>
      </c>
      <c r="P15" s="366">
        <f t="shared" si="11"/>
        <v>20185</v>
      </c>
      <c r="Q15" s="366">
        <f t="shared" si="11"/>
        <v>401241</v>
      </c>
      <c r="R15" s="366">
        <f t="shared" si="11"/>
        <v>20324</v>
      </c>
      <c r="S15" s="366">
        <f t="shared" si="11"/>
        <v>-26210</v>
      </c>
      <c r="T15" s="367">
        <f t="shared" si="11"/>
        <v>139</v>
      </c>
      <c r="U15" s="381">
        <f t="shared" ref="U15:Z15" si="13">SUM(U7:U14)</f>
        <v>7124.1833333333325</v>
      </c>
      <c r="V15" s="382">
        <f t="shared" si="13"/>
        <v>336.41666666666674</v>
      </c>
      <c r="W15" s="382">
        <f t="shared" si="13"/>
        <v>6687.35</v>
      </c>
      <c r="X15" s="382">
        <f t="shared" si="13"/>
        <v>338.73333333333329</v>
      </c>
      <c r="Y15" s="382">
        <f t="shared" si="13"/>
        <v>-436.83333333333331</v>
      </c>
      <c r="Z15" s="383">
        <f t="shared" si="13"/>
        <v>2.3166666666666615</v>
      </c>
    </row>
    <row r="16" spans="2:26" ht="14.45" x14ac:dyDescent="0.3">
      <c r="C16" s="372">
        <f>C15/(C15+D15)</f>
        <v>0.96634189548272809</v>
      </c>
      <c r="D16" s="372">
        <f>D15/(C15+D15)</f>
        <v>3.3658104517271921E-2</v>
      </c>
      <c r="U16" s="415">
        <f>U15/60</f>
        <v>118.73638888888887</v>
      </c>
      <c r="V16" s="415">
        <f t="shared" ref="V16:X16" si="14">V15/60</f>
        <v>5.6069444444444461</v>
      </c>
      <c r="W16" s="415">
        <f t="shared" si="14"/>
        <v>111.45583333333335</v>
      </c>
      <c r="X16" s="415">
        <f t="shared" si="14"/>
        <v>5.6455555555555552</v>
      </c>
      <c r="Y16" s="415">
        <f t="shared" ref="Y16" si="15">W16-U16</f>
        <v>-7.280555555555523</v>
      </c>
      <c r="Z16" s="415">
        <f t="shared" ref="Z16" si="16">X16-V16</f>
        <v>3.8611111111109153E-2</v>
      </c>
    </row>
    <row r="17" spans="2:26" thickBot="1" x14ac:dyDescent="0.35">
      <c r="U17" s="472">
        <f>U16+V16</f>
        <v>124.34333333333332</v>
      </c>
      <c r="V17" s="472"/>
      <c r="W17" s="472">
        <f>W16+X16</f>
        <v>117.10138888888891</v>
      </c>
      <c r="X17" s="472"/>
      <c r="Y17" s="472">
        <f>W17-U17</f>
        <v>-7.2419444444444139</v>
      </c>
      <c r="Z17" s="472"/>
    </row>
    <row r="18" spans="2:26" x14ac:dyDescent="0.25">
      <c r="B18" s="475" t="s">
        <v>241</v>
      </c>
      <c r="C18" s="461" t="s">
        <v>297</v>
      </c>
      <c r="D18" s="462"/>
      <c r="E18" s="462"/>
      <c r="F18" s="462"/>
      <c r="G18" s="462"/>
      <c r="H18" s="463"/>
    </row>
    <row r="19" spans="2:26" x14ac:dyDescent="0.25">
      <c r="B19" s="476"/>
      <c r="C19" s="464" t="s">
        <v>244</v>
      </c>
      <c r="D19" s="465"/>
      <c r="E19" s="465" t="s">
        <v>245</v>
      </c>
      <c r="F19" s="465"/>
      <c r="G19" s="465" t="s">
        <v>246</v>
      </c>
      <c r="H19" s="466"/>
    </row>
    <row r="20" spans="2:26" ht="15.75" thickBot="1" x14ac:dyDescent="0.3">
      <c r="B20" s="477"/>
      <c r="C20" s="348" t="s">
        <v>295</v>
      </c>
      <c r="D20" s="349" t="s">
        <v>296</v>
      </c>
      <c r="E20" s="349" t="s">
        <v>295</v>
      </c>
      <c r="F20" s="349" t="s">
        <v>296</v>
      </c>
      <c r="G20" s="349" t="s">
        <v>295</v>
      </c>
      <c r="H20" s="350" t="s">
        <v>296</v>
      </c>
    </row>
    <row r="21" spans="2:26" ht="14.45" x14ac:dyDescent="0.3">
      <c r="B21" s="409">
        <v>1</v>
      </c>
      <c r="C21" s="352">
        <f>C7+D7</f>
        <v>390</v>
      </c>
      <c r="D21" s="416">
        <f>(O7+P7)/C21</f>
        <v>70.328205128205127</v>
      </c>
      <c r="E21" s="353">
        <f>E7+F7</f>
        <v>390</v>
      </c>
      <c r="F21" s="416">
        <f>(Q7+R7)/E21</f>
        <v>72.476923076923072</v>
      </c>
      <c r="G21" s="416">
        <f>E21-C21</f>
        <v>0</v>
      </c>
      <c r="H21" s="417">
        <f t="shared" ref="H21:H29" si="17">F21-D21</f>
        <v>2.1487179487179446</v>
      </c>
    </row>
    <row r="22" spans="2:26" ht="14.45" x14ac:dyDescent="0.3">
      <c r="B22" s="410">
        <v>2</v>
      </c>
      <c r="C22" s="356">
        <f t="shared" ref="C22:C28" si="18">C8+D8</f>
        <v>299</v>
      </c>
      <c r="D22" s="416">
        <f t="shared" ref="D22:D29" si="19">(O8+P8)/C22</f>
        <v>82.217391304347828</v>
      </c>
      <c r="E22" s="357">
        <f t="shared" ref="E22:E28" si="20">E8+F8</f>
        <v>301</v>
      </c>
      <c r="F22" s="418">
        <f t="shared" ref="F22:F29" si="21">(Q8+R8)/E22</f>
        <v>78.089700996677735</v>
      </c>
      <c r="G22" s="418">
        <f t="shared" ref="G22:G28" si="22">E22-C22</f>
        <v>2</v>
      </c>
      <c r="H22" s="419">
        <f t="shared" si="17"/>
        <v>-4.1276903076700933</v>
      </c>
    </row>
    <row r="23" spans="2:26" ht="14.45" x14ac:dyDescent="0.3">
      <c r="B23" s="410">
        <v>3</v>
      </c>
      <c r="C23" s="356">
        <f t="shared" si="18"/>
        <v>415</v>
      </c>
      <c r="D23" s="416">
        <f t="shared" si="19"/>
        <v>93.106024096385539</v>
      </c>
      <c r="E23" s="357">
        <f t="shared" si="20"/>
        <v>420</v>
      </c>
      <c r="F23" s="418">
        <f t="shared" si="21"/>
        <v>102.97142857142858</v>
      </c>
      <c r="G23" s="418">
        <f t="shared" si="22"/>
        <v>5</v>
      </c>
      <c r="H23" s="419">
        <f t="shared" si="17"/>
        <v>9.8654044750430359</v>
      </c>
    </row>
    <row r="24" spans="2:26" ht="14.45" x14ac:dyDescent="0.3">
      <c r="B24" s="411">
        <v>4</v>
      </c>
      <c r="C24" s="356">
        <f t="shared" si="18"/>
        <v>891</v>
      </c>
      <c r="D24" s="416">
        <f t="shared" si="19"/>
        <v>257.92592592592592</v>
      </c>
      <c r="E24" s="357">
        <f t="shared" si="20"/>
        <v>895</v>
      </c>
      <c r="F24" s="418">
        <f t="shared" si="21"/>
        <v>229.13296089385474</v>
      </c>
      <c r="G24" s="418">
        <f t="shared" si="22"/>
        <v>4</v>
      </c>
      <c r="H24" s="419">
        <f t="shared" si="17"/>
        <v>-28.79296503207118</v>
      </c>
    </row>
    <row r="25" spans="2:26" ht="14.45" x14ac:dyDescent="0.3">
      <c r="B25" s="411">
        <v>5</v>
      </c>
      <c r="C25" s="356">
        <f t="shared" si="18"/>
        <v>918</v>
      </c>
      <c r="D25" s="416">
        <f t="shared" si="19"/>
        <v>112.54901960784314</v>
      </c>
      <c r="E25" s="357">
        <f t="shared" si="20"/>
        <v>906</v>
      </c>
      <c r="F25" s="418">
        <f t="shared" si="21"/>
        <v>118.38079470198676</v>
      </c>
      <c r="G25" s="418">
        <f t="shared" si="22"/>
        <v>-12</v>
      </c>
      <c r="H25" s="419">
        <f t="shared" si="17"/>
        <v>5.8317750941436231</v>
      </c>
    </row>
    <row r="26" spans="2:26" ht="14.45" x14ac:dyDescent="0.3">
      <c r="B26" s="412">
        <v>6</v>
      </c>
      <c r="C26" s="356">
        <f t="shared" si="18"/>
        <v>7</v>
      </c>
      <c r="D26" s="416">
        <f t="shared" si="19"/>
        <v>116</v>
      </c>
      <c r="E26" s="357">
        <f t="shared" si="20"/>
        <v>7</v>
      </c>
      <c r="F26" s="418">
        <f t="shared" si="21"/>
        <v>124</v>
      </c>
      <c r="G26" s="418">
        <f t="shared" si="22"/>
        <v>0</v>
      </c>
      <c r="H26" s="419">
        <f t="shared" si="17"/>
        <v>8</v>
      </c>
    </row>
    <row r="27" spans="2:26" ht="14.45" x14ac:dyDescent="0.3">
      <c r="B27" s="413">
        <v>7</v>
      </c>
      <c r="C27" s="356">
        <f t="shared" si="18"/>
        <v>239</v>
      </c>
      <c r="D27" s="416">
        <f t="shared" si="19"/>
        <v>41</v>
      </c>
      <c r="E27" s="357">
        <f t="shared" si="20"/>
        <v>252</v>
      </c>
      <c r="F27" s="418">
        <f t="shared" si="21"/>
        <v>41</v>
      </c>
      <c r="G27" s="418">
        <f t="shared" si="22"/>
        <v>13</v>
      </c>
      <c r="H27" s="419">
        <f t="shared" si="17"/>
        <v>0</v>
      </c>
    </row>
    <row r="28" spans="2:26" thickBot="1" x14ac:dyDescent="0.35">
      <c r="B28" s="414">
        <v>8</v>
      </c>
      <c r="C28" s="360">
        <f t="shared" si="18"/>
        <v>228</v>
      </c>
      <c r="D28" s="416">
        <f t="shared" si="19"/>
        <v>58.083333333333336</v>
      </c>
      <c r="E28" s="361">
        <f t="shared" si="20"/>
        <v>230</v>
      </c>
      <c r="F28" s="420">
        <f t="shared" si="21"/>
        <v>13.126086956521739</v>
      </c>
      <c r="G28" s="420">
        <f t="shared" si="22"/>
        <v>2</v>
      </c>
      <c r="H28" s="421">
        <f t="shared" si="17"/>
        <v>-44.957246376811597</v>
      </c>
    </row>
    <row r="29" spans="2:26" thickBot="1" x14ac:dyDescent="0.35">
      <c r="B29" s="364"/>
      <c r="C29" s="365">
        <f>SUM(C21:C28)</f>
        <v>3387</v>
      </c>
      <c r="D29" s="369">
        <f t="shared" si="19"/>
        <v>132.162976085031</v>
      </c>
      <c r="E29" s="366">
        <f t="shared" ref="E29:G29" si="23">SUM(E21:E28)</f>
        <v>3401</v>
      </c>
      <c r="F29" s="369">
        <f t="shared" si="21"/>
        <v>123.9532490443987</v>
      </c>
      <c r="G29" s="369">
        <f t="shared" si="23"/>
        <v>14</v>
      </c>
      <c r="H29" s="370">
        <f t="shared" si="17"/>
        <v>-8.209727040632302</v>
      </c>
    </row>
    <row r="30" spans="2:26" ht="14.45" x14ac:dyDescent="0.3">
      <c r="C30" s="372"/>
      <c r="D30" s="372"/>
    </row>
    <row r="32" spans="2:26" x14ac:dyDescent="0.25">
      <c r="B32" s="422" t="s">
        <v>299</v>
      </c>
      <c r="C32" s="422" t="s">
        <v>289</v>
      </c>
      <c r="D32" s="422" t="s">
        <v>290</v>
      </c>
      <c r="E32" s="422" t="s">
        <v>291</v>
      </c>
      <c r="F32" s="422" t="s">
        <v>292</v>
      </c>
      <c r="G32" s="422" t="s">
        <v>293</v>
      </c>
      <c r="H32" s="422" t="s">
        <v>294</v>
      </c>
    </row>
    <row r="33" spans="2:10" x14ac:dyDescent="0.25">
      <c r="B33" s="422" t="s">
        <v>289</v>
      </c>
      <c r="C33" s="357">
        <v>0</v>
      </c>
      <c r="D33" s="357">
        <f>550</f>
        <v>550</v>
      </c>
      <c r="E33" s="473">
        <f>550+170</f>
        <v>720</v>
      </c>
      <c r="F33" s="474"/>
      <c r="G33" s="357">
        <f>550+430</f>
        <v>980</v>
      </c>
      <c r="H33" s="357">
        <f>550+430+520</f>
        <v>1500</v>
      </c>
    </row>
    <row r="34" spans="2:10" x14ac:dyDescent="0.25">
      <c r="B34" s="422" t="s">
        <v>290</v>
      </c>
      <c r="C34" s="357">
        <v>200</v>
      </c>
      <c r="D34" s="357">
        <v>0</v>
      </c>
      <c r="E34" s="473">
        <f>200+170</f>
        <v>370</v>
      </c>
      <c r="F34" s="474"/>
      <c r="G34" s="357">
        <f>200+430</f>
        <v>630</v>
      </c>
      <c r="H34" s="357">
        <f>200+430+520</f>
        <v>1150</v>
      </c>
    </row>
    <row r="35" spans="2:10" x14ac:dyDescent="0.25">
      <c r="B35" s="422" t="s">
        <v>291</v>
      </c>
      <c r="C35" s="473">
        <f>165+170</f>
        <v>335</v>
      </c>
      <c r="D35" s="474"/>
      <c r="E35" s="357">
        <v>0</v>
      </c>
      <c r="F35" s="357">
        <v>165</v>
      </c>
      <c r="G35" s="357">
        <f>165+260</f>
        <v>425</v>
      </c>
      <c r="H35" s="357">
        <f>165+260+520</f>
        <v>945</v>
      </c>
    </row>
    <row r="36" spans="2:10" x14ac:dyDescent="0.25">
      <c r="B36" s="422" t="s">
        <v>292</v>
      </c>
      <c r="C36" s="473">
        <f>125+170</f>
        <v>295</v>
      </c>
      <c r="D36" s="474"/>
      <c r="E36" s="357">
        <v>125</v>
      </c>
      <c r="F36" s="357">
        <v>0</v>
      </c>
      <c r="G36" s="357">
        <f>125+260</f>
        <v>385</v>
      </c>
      <c r="H36" s="357">
        <f>125+260+520</f>
        <v>905</v>
      </c>
    </row>
    <row r="37" spans="2:10" x14ac:dyDescent="0.25">
      <c r="B37" s="422" t="s">
        <v>293</v>
      </c>
      <c r="C37" s="473">
        <v>430</v>
      </c>
      <c r="D37" s="474"/>
      <c r="E37" s="473">
        <v>260</v>
      </c>
      <c r="F37" s="474"/>
      <c r="G37" s="357">
        <v>0</v>
      </c>
      <c r="H37" s="357">
        <v>520</v>
      </c>
    </row>
    <row r="38" spans="2:10" x14ac:dyDescent="0.25">
      <c r="B38" s="422" t="s">
        <v>294</v>
      </c>
      <c r="C38" s="473">
        <f>520+430</f>
        <v>950</v>
      </c>
      <c r="D38" s="474"/>
      <c r="E38" s="473">
        <f>520+260</f>
        <v>780</v>
      </c>
      <c r="F38" s="474"/>
      <c r="G38" s="357">
        <f>520</f>
        <v>520</v>
      </c>
      <c r="H38" s="357">
        <v>0</v>
      </c>
    </row>
    <row r="41" spans="2:10" x14ac:dyDescent="0.25">
      <c r="B41" s="422" t="s">
        <v>301</v>
      </c>
      <c r="C41" s="422" t="s">
        <v>289</v>
      </c>
      <c r="D41" s="422" t="s">
        <v>290</v>
      </c>
      <c r="E41" s="422" t="s">
        <v>291</v>
      </c>
      <c r="F41" s="422" t="s">
        <v>292</v>
      </c>
      <c r="G41" s="422" t="s">
        <v>293</v>
      </c>
      <c r="H41" s="422" t="s">
        <v>294</v>
      </c>
      <c r="I41" s="357"/>
    </row>
    <row r="42" spans="2:10" x14ac:dyDescent="0.25">
      <c r="B42" s="422" t="s">
        <v>289</v>
      </c>
      <c r="C42" s="418">
        <v>0</v>
      </c>
      <c r="D42" s="418">
        <v>183</v>
      </c>
      <c r="E42" s="478">
        <v>0</v>
      </c>
      <c r="F42" s="479"/>
      <c r="G42" s="418">
        <f>(I42-D42)*G48/(G48+H48)</f>
        <v>45.220338983050844</v>
      </c>
      <c r="H42" s="418">
        <f>I42-G42-D42</f>
        <v>161.77966101694915</v>
      </c>
      <c r="I42" s="418">
        <f>C21</f>
        <v>390</v>
      </c>
      <c r="J42" s="423">
        <f>SUM(C42:H42)</f>
        <v>390</v>
      </c>
    </row>
    <row r="43" spans="2:10" x14ac:dyDescent="0.25">
      <c r="B43" s="422" t="s">
        <v>290</v>
      </c>
      <c r="C43" s="418">
        <v>150</v>
      </c>
      <c r="D43" s="418">
        <v>0</v>
      </c>
      <c r="E43" s="478">
        <v>0</v>
      </c>
      <c r="F43" s="479"/>
      <c r="G43" s="418">
        <f>(I43-C43)*G48/(G48+H48)</f>
        <v>17.039548022598868</v>
      </c>
      <c r="H43" s="418">
        <f>I43-C43-G43</f>
        <v>60.960451977401135</v>
      </c>
      <c r="I43" s="357">
        <f>C28</f>
        <v>228</v>
      </c>
      <c r="J43" s="423">
        <f t="shared" ref="J43:J47" si="24">SUM(C43:H43)</f>
        <v>228</v>
      </c>
    </row>
    <row r="44" spans="2:10" x14ac:dyDescent="0.25">
      <c r="B44" s="422" t="s">
        <v>291</v>
      </c>
      <c r="C44" s="478">
        <f>I44-H44</f>
        <v>46.740112994350284</v>
      </c>
      <c r="D44" s="479"/>
      <c r="E44" s="418">
        <v>0</v>
      </c>
      <c r="F44" s="418">
        <v>0</v>
      </c>
      <c r="G44" s="418">
        <v>0</v>
      </c>
      <c r="H44" s="418">
        <f>H48-H42-H43</f>
        <v>192.25988700564972</v>
      </c>
      <c r="I44" s="357">
        <f>C27</f>
        <v>239</v>
      </c>
      <c r="J44" s="423">
        <f t="shared" si="24"/>
        <v>239</v>
      </c>
    </row>
    <row r="45" spans="2:10" x14ac:dyDescent="0.25">
      <c r="B45" s="422" t="s">
        <v>292</v>
      </c>
      <c r="C45" s="478">
        <f>I45</f>
        <v>7</v>
      </c>
      <c r="D45" s="479"/>
      <c r="E45" s="418">
        <v>0</v>
      </c>
      <c r="F45" s="418">
        <v>0</v>
      </c>
      <c r="G45" s="418">
        <v>0</v>
      </c>
      <c r="H45" s="418">
        <v>0</v>
      </c>
      <c r="I45" s="357">
        <f>C26</f>
        <v>7</v>
      </c>
      <c r="J45" s="423">
        <f t="shared" si="24"/>
        <v>7</v>
      </c>
    </row>
    <row r="46" spans="2:10" x14ac:dyDescent="0.25">
      <c r="B46" s="422" t="s">
        <v>293</v>
      </c>
      <c r="C46" s="478">
        <f>I46</f>
        <v>27</v>
      </c>
      <c r="D46" s="479"/>
      <c r="E46" s="478">
        <v>0</v>
      </c>
      <c r="F46" s="479"/>
      <c r="G46" s="418">
        <v>0</v>
      </c>
      <c r="H46" s="418">
        <v>0</v>
      </c>
      <c r="I46" s="357">
        <f>C25-C24</f>
        <v>27</v>
      </c>
      <c r="J46" s="423">
        <f t="shared" si="24"/>
        <v>27</v>
      </c>
    </row>
    <row r="47" spans="2:10" x14ac:dyDescent="0.25">
      <c r="B47" s="422" t="s">
        <v>294</v>
      </c>
      <c r="C47" s="478">
        <f>C25-C44-C45-C46</f>
        <v>837.25988700564972</v>
      </c>
      <c r="D47" s="479"/>
      <c r="E47" s="478">
        <f>I47-C47-G47</f>
        <v>0</v>
      </c>
      <c r="F47" s="479"/>
      <c r="G47" s="418">
        <f>G48-G42-G43-G44</f>
        <v>53.740112994350284</v>
      </c>
      <c r="H47" s="418">
        <v>0</v>
      </c>
      <c r="I47" s="357">
        <f>C24</f>
        <v>891</v>
      </c>
      <c r="J47" s="423">
        <f t="shared" si="24"/>
        <v>891</v>
      </c>
    </row>
    <row r="48" spans="2:10" x14ac:dyDescent="0.25">
      <c r="B48" s="357"/>
      <c r="C48" s="478">
        <f>C25+C43+D42</f>
        <v>1251</v>
      </c>
      <c r="D48" s="479"/>
      <c r="E48" s="478">
        <f>SUM(E42:E47)</f>
        <v>0</v>
      </c>
      <c r="F48" s="479"/>
      <c r="G48" s="357">
        <f>C23-C22</f>
        <v>116</v>
      </c>
      <c r="H48" s="357">
        <f>C23</f>
        <v>415</v>
      </c>
      <c r="I48" s="357">
        <f>SUM(I42:I47)</f>
        <v>1782</v>
      </c>
      <c r="J48" s="423">
        <f>SUM(J42:J47)</f>
        <v>1782</v>
      </c>
    </row>
    <row r="49" spans="2:19" x14ac:dyDescent="0.25">
      <c r="C49" s="480">
        <f>SUM(C42:D47)</f>
        <v>1251</v>
      </c>
      <c r="D49" s="480"/>
      <c r="E49" s="480">
        <f t="shared" ref="E49:H49" si="25">SUM(E42:E47)</f>
        <v>0</v>
      </c>
      <c r="F49" s="480"/>
      <c r="G49" s="423">
        <f t="shared" si="25"/>
        <v>116</v>
      </c>
      <c r="H49" s="423">
        <f t="shared" si="25"/>
        <v>415</v>
      </c>
      <c r="I49" s="423">
        <f>SUM(C49:H49)</f>
        <v>1782</v>
      </c>
    </row>
    <row r="51" spans="2:19" x14ac:dyDescent="0.25">
      <c r="B51" s="422" t="s">
        <v>304</v>
      </c>
      <c r="C51" s="422" t="s">
        <v>289</v>
      </c>
      <c r="D51" s="422" t="s">
        <v>290</v>
      </c>
      <c r="E51" s="422" t="s">
        <v>291</v>
      </c>
      <c r="F51" s="422" t="s">
        <v>292</v>
      </c>
      <c r="G51" s="422" t="s">
        <v>293</v>
      </c>
      <c r="H51" s="422" t="s">
        <v>294</v>
      </c>
      <c r="L51" s="422" t="s">
        <v>305</v>
      </c>
      <c r="M51" s="422" t="s">
        <v>289</v>
      </c>
      <c r="N51" s="422" t="s">
        <v>290</v>
      </c>
      <c r="O51" s="422" t="s">
        <v>291</v>
      </c>
      <c r="P51" s="422" t="s">
        <v>292</v>
      </c>
      <c r="Q51" s="422" t="s">
        <v>293</v>
      </c>
      <c r="R51" s="422" t="s">
        <v>294</v>
      </c>
    </row>
    <row r="52" spans="2:19" x14ac:dyDescent="0.25">
      <c r="B52" s="422" t="s">
        <v>289</v>
      </c>
      <c r="C52" s="418">
        <v>0</v>
      </c>
      <c r="D52" s="418">
        <f>D$21</f>
        <v>70.328205128205127</v>
      </c>
      <c r="E52" s="478">
        <f>D$21+D$22*170/430</f>
        <v>102.83275517876125</v>
      </c>
      <c r="F52" s="479"/>
      <c r="G52" s="418">
        <f>D$21+D$22</f>
        <v>152.54559643255294</v>
      </c>
      <c r="H52" s="418">
        <f>D$21+D$22+D$23</f>
        <v>245.65162052893848</v>
      </c>
      <c r="L52" s="422" t="s">
        <v>289</v>
      </c>
      <c r="M52" s="418">
        <v>0</v>
      </c>
      <c r="N52" s="418">
        <f>F$21</f>
        <v>72.476923076923072</v>
      </c>
      <c r="O52" s="478">
        <f>F$21+F$22*170/430</f>
        <v>103.34959556398171</v>
      </c>
      <c r="P52" s="479"/>
      <c r="Q52" s="418">
        <f>F$21+F$22</f>
        <v>150.56662407360079</v>
      </c>
      <c r="R52" s="418">
        <f>F$21+F$22+F$23</f>
        <v>253.53805264502938</v>
      </c>
    </row>
    <row r="53" spans="2:19" x14ac:dyDescent="0.25">
      <c r="B53" s="422" t="s">
        <v>290</v>
      </c>
      <c r="C53" s="418">
        <f>D$28</f>
        <v>58.083333333333336</v>
      </c>
      <c r="D53" s="418">
        <v>0</v>
      </c>
      <c r="E53" s="478">
        <f>D$28+D$22*170/430</f>
        <v>90.587883383889448</v>
      </c>
      <c r="F53" s="479"/>
      <c r="G53" s="418">
        <f>D$28+D$22</f>
        <v>140.30072463768116</v>
      </c>
      <c r="H53" s="418">
        <f>D$28+D$22+D$23</f>
        <v>233.4067487340667</v>
      </c>
      <c r="L53" s="422" t="s">
        <v>290</v>
      </c>
      <c r="M53" s="418">
        <f>F$28</f>
        <v>13.126086956521739</v>
      </c>
      <c r="N53" s="418">
        <v>0</v>
      </c>
      <c r="O53" s="478">
        <f>F$28+F$22*170/430</f>
        <v>43.998759443580383</v>
      </c>
      <c r="P53" s="479"/>
      <c r="Q53" s="418">
        <f>F$28+F$22</f>
        <v>91.215787953199481</v>
      </c>
      <c r="R53" s="418">
        <f>F$28+F$22+F$23</f>
        <v>194.18721652462807</v>
      </c>
    </row>
    <row r="54" spans="2:19" x14ac:dyDescent="0.25">
      <c r="B54" s="422" t="s">
        <v>291</v>
      </c>
      <c r="C54" s="478">
        <f>D$27+D$25*170/430</f>
        <v>85.496124031007753</v>
      </c>
      <c r="D54" s="479"/>
      <c r="E54" s="418">
        <v>0</v>
      </c>
      <c r="F54" s="418">
        <f>D$27</f>
        <v>41</v>
      </c>
      <c r="G54" s="418">
        <f>D$27+D$22*260/430</f>
        <v>90.712841253791709</v>
      </c>
      <c r="H54" s="418">
        <f>D$27+D$22*260/430+D$23</f>
        <v>183.81886535017725</v>
      </c>
      <c r="L54" s="422" t="s">
        <v>291</v>
      </c>
      <c r="M54" s="478">
        <f>F$27+F$25*170/430</f>
        <v>87.801709533343598</v>
      </c>
      <c r="N54" s="479"/>
      <c r="O54" s="418">
        <v>0</v>
      </c>
      <c r="P54" s="418">
        <f>F$27</f>
        <v>41</v>
      </c>
      <c r="Q54" s="418">
        <f>F$27+F$22*260/430</f>
        <v>88.217028509619098</v>
      </c>
      <c r="R54" s="418">
        <f>F$27+F$22*260/430+F$23</f>
        <v>191.18845708104766</v>
      </c>
    </row>
    <row r="55" spans="2:19" x14ac:dyDescent="0.25">
      <c r="B55" s="422" t="s">
        <v>292</v>
      </c>
      <c r="C55" s="478">
        <f>D$26+D$25*170/430</f>
        <v>160.49612403100775</v>
      </c>
      <c r="D55" s="479"/>
      <c r="E55" s="418">
        <f>D$26</f>
        <v>116</v>
      </c>
      <c r="F55" s="418">
        <v>0</v>
      </c>
      <c r="G55" s="418">
        <f>D$26+260/430*D$22</f>
        <v>165.71284125379171</v>
      </c>
      <c r="H55" s="418">
        <f>D$26+260/430*D$22+D$23</f>
        <v>258.81886535017725</v>
      </c>
      <c r="L55" s="422" t="s">
        <v>292</v>
      </c>
      <c r="M55" s="478">
        <f>F$26+F$25*170/430</f>
        <v>170.8017095333436</v>
      </c>
      <c r="N55" s="479"/>
      <c r="O55" s="418">
        <f>F$26</f>
        <v>124</v>
      </c>
      <c r="P55" s="418">
        <v>0</v>
      </c>
      <c r="Q55" s="418">
        <f>F$26+260/430*F$22</f>
        <v>171.2170285096191</v>
      </c>
      <c r="R55" s="418">
        <f>F$26+260/430*F$22+F$23</f>
        <v>274.18845708104766</v>
      </c>
    </row>
    <row r="56" spans="2:19" x14ac:dyDescent="0.25">
      <c r="B56" s="422" t="s">
        <v>293</v>
      </c>
      <c r="C56" s="478">
        <f>D$25</f>
        <v>112.54901960784314</v>
      </c>
      <c r="D56" s="479"/>
      <c r="E56" s="478">
        <f>260/430*D$25</f>
        <v>68.052895576835382</v>
      </c>
      <c r="F56" s="479"/>
      <c r="G56" s="418">
        <v>0</v>
      </c>
      <c r="H56" s="418">
        <f>D$23</f>
        <v>93.106024096385539</v>
      </c>
      <c r="L56" s="422" t="s">
        <v>293</v>
      </c>
      <c r="M56" s="478">
        <f>F$25</f>
        <v>118.38079470198676</v>
      </c>
      <c r="N56" s="479"/>
      <c r="O56" s="478">
        <f>260/430*F$25</f>
        <v>71.579085168643147</v>
      </c>
      <c r="P56" s="479"/>
      <c r="Q56" s="418">
        <v>0</v>
      </c>
      <c r="R56" s="418">
        <f>F$23</f>
        <v>102.97142857142858</v>
      </c>
    </row>
    <row r="57" spans="2:19" x14ac:dyDescent="0.25">
      <c r="B57" s="422" t="s">
        <v>294</v>
      </c>
      <c r="C57" s="478">
        <f>D$24+D$25</f>
        <v>370.47494553376907</v>
      </c>
      <c r="D57" s="479"/>
      <c r="E57" s="478">
        <f>D$24+260/430*D$25</f>
        <v>325.97882150276132</v>
      </c>
      <c r="F57" s="479"/>
      <c r="G57" s="418">
        <f>D$24</f>
        <v>257.92592592592592</v>
      </c>
      <c r="H57" s="418">
        <v>0</v>
      </c>
      <c r="L57" s="422" t="s">
        <v>294</v>
      </c>
      <c r="M57" s="478">
        <f>F$24+F$25</f>
        <v>347.51375559584153</v>
      </c>
      <c r="N57" s="479"/>
      <c r="O57" s="478">
        <f>F$24+260/430*F$25</f>
        <v>300.7120460624979</v>
      </c>
      <c r="P57" s="479"/>
      <c r="Q57" s="418">
        <f>F$24</f>
        <v>229.13296089385474</v>
      </c>
      <c r="R57" s="418">
        <v>0</v>
      </c>
    </row>
    <row r="59" spans="2:19" x14ac:dyDescent="0.25">
      <c r="B59" s="422" t="s">
        <v>298</v>
      </c>
      <c r="C59" s="422" t="s">
        <v>289</v>
      </c>
      <c r="D59" s="422" t="s">
        <v>290</v>
      </c>
      <c r="E59" s="422" t="s">
        <v>291</v>
      </c>
      <c r="F59" s="422" t="s">
        <v>292</v>
      </c>
      <c r="G59" s="422" t="s">
        <v>293</v>
      </c>
      <c r="H59" s="422" t="s">
        <v>294</v>
      </c>
      <c r="I59" s="357"/>
      <c r="L59" s="422" t="s">
        <v>302</v>
      </c>
      <c r="M59" s="422" t="s">
        <v>289</v>
      </c>
      <c r="N59" s="422" t="s">
        <v>290</v>
      </c>
      <c r="O59" s="422" t="s">
        <v>291</v>
      </c>
      <c r="P59" s="422" t="s">
        <v>292</v>
      </c>
      <c r="Q59" s="422" t="s">
        <v>293</v>
      </c>
      <c r="R59" s="422" t="s">
        <v>294</v>
      </c>
      <c r="S59" s="357"/>
    </row>
    <row r="60" spans="2:19" x14ac:dyDescent="0.25">
      <c r="B60" s="422" t="s">
        <v>289</v>
      </c>
      <c r="C60" s="377">
        <f>C$42*C52/3600</f>
        <v>0</v>
      </c>
      <c r="D60" s="377">
        <f>D$42*D52/3600</f>
        <v>3.5750170940170936</v>
      </c>
      <c r="E60" s="481">
        <f>E$42*E52/3600</f>
        <v>0</v>
      </c>
      <c r="F60" s="482"/>
      <c r="G60" s="377">
        <f>G$42*G52/3600</f>
        <v>1.9161565502921432</v>
      </c>
      <c r="H60" s="377">
        <f>H$42*H52/3600</f>
        <v>11.039287749287748</v>
      </c>
      <c r="I60" s="377">
        <f>SUM(C60:H60)</f>
        <v>16.530461393596987</v>
      </c>
      <c r="L60" s="422" t="s">
        <v>289</v>
      </c>
      <c r="M60" s="377">
        <f t="shared" ref="M60:R60" si="26">C$42*M52/3600</f>
        <v>0</v>
      </c>
      <c r="N60" s="377">
        <f t="shared" si="26"/>
        <v>3.6842435897435895</v>
      </c>
      <c r="O60" s="481">
        <f t="shared" si="26"/>
        <v>0</v>
      </c>
      <c r="P60" s="482">
        <f t="shared" si="26"/>
        <v>0</v>
      </c>
      <c r="Q60" s="377">
        <f t="shared" si="26"/>
        <v>1.8912982722616143</v>
      </c>
      <c r="R60" s="377">
        <f t="shared" si="26"/>
        <v>11.393694503280628</v>
      </c>
      <c r="S60" s="377">
        <f>SUM(M60:R60)</f>
        <v>16.96923636528583</v>
      </c>
    </row>
    <row r="61" spans="2:19" x14ac:dyDescent="0.25">
      <c r="B61" s="422" t="s">
        <v>290</v>
      </c>
      <c r="C61" s="377">
        <f>C$43*C53/3600</f>
        <v>2.4201388888888888</v>
      </c>
      <c r="D61" s="377">
        <f>D$43*D53/3600</f>
        <v>0</v>
      </c>
      <c r="E61" s="481">
        <f>E$43*E53/3600</f>
        <v>0</v>
      </c>
      <c r="F61" s="482"/>
      <c r="G61" s="377">
        <f>G43*G53/3600</f>
        <v>0.66407248196366342</v>
      </c>
      <c r="H61" s="377">
        <f>H43*H53/3600</f>
        <v>3.952383582612335</v>
      </c>
      <c r="I61" s="377">
        <f t="shared" ref="I61:I66" si="27">SUM(C61:H61)</f>
        <v>7.0365949534648866</v>
      </c>
      <c r="L61" s="422" t="s">
        <v>290</v>
      </c>
      <c r="M61" s="377">
        <f t="shared" ref="M61:R61" si="28">C$43*M53/3600</f>
        <v>0.54692028985507246</v>
      </c>
      <c r="N61" s="377">
        <f t="shared" si="28"/>
        <v>0</v>
      </c>
      <c r="O61" s="481">
        <f t="shared" si="28"/>
        <v>0</v>
      </c>
      <c r="P61" s="482">
        <f t="shared" si="28"/>
        <v>0</v>
      </c>
      <c r="Q61" s="377">
        <f t="shared" si="28"/>
        <v>0.43174327756881609</v>
      </c>
      <c r="R61" s="377">
        <f t="shared" si="28"/>
        <v>3.2882612465485512</v>
      </c>
      <c r="S61" s="377">
        <f t="shared" ref="S61:S66" si="29">SUM(M61:R61)</f>
        <v>4.2669248139724401</v>
      </c>
    </row>
    <row r="62" spans="2:19" x14ac:dyDescent="0.25">
      <c r="B62" s="422" t="s">
        <v>291</v>
      </c>
      <c r="C62" s="481">
        <f>C$44*C54/3600</f>
        <v>1.110027360496747</v>
      </c>
      <c r="D62" s="482"/>
      <c r="E62" s="377">
        <f>E$44*E54/3600</f>
        <v>0</v>
      </c>
      <c r="F62" s="377">
        <f>F$44*F54/3600</f>
        <v>0</v>
      </c>
      <c r="G62" s="377">
        <f>G$44*G54/3600</f>
        <v>0</v>
      </c>
      <c r="H62" s="377">
        <f>H$44*H54/3600</f>
        <v>9.816942856036615</v>
      </c>
      <c r="I62" s="377">
        <f t="shared" si="27"/>
        <v>10.926970216533363</v>
      </c>
      <c r="L62" s="422" t="s">
        <v>291</v>
      </c>
      <c r="M62" s="481">
        <f>C$44*M54/3600</f>
        <v>1.1399616179682228</v>
      </c>
      <c r="N62" s="482"/>
      <c r="O62" s="377">
        <f>E$44*O54/3600</f>
        <v>0</v>
      </c>
      <c r="P62" s="377">
        <f>F$44*P54/3600</f>
        <v>0</v>
      </c>
      <c r="Q62" s="377">
        <f>G$44*Q54/3600</f>
        <v>0</v>
      </c>
      <c r="R62" s="377">
        <f>H$44*R54/3600</f>
        <v>10.210519765329648</v>
      </c>
      <c r="S62" s="377">
        <f t="shared" si="29"/>
        <v>11.350481383297872</v>
      </c>
    </row>
    <row r="63" spans="2:19" x14ac:dyDescent="0.25">
      <c r="B63" s="422" t="s">
        <v>292</v>
      </c>
      <c r="C63" s="481">
        <f>C$45*C55/3600</f>
        <v>0.31207579672695956</v>
      </c>
      <c r="D63" s="482"/>
      <c r="E63" s="377">
        <f>E$45*E55/3600</f>
        <v>0</v>
      </c>
      <c r="F63" s="377">
        <f>F$45*F55/3600</f>
        <v>0</v>
      </c>
      <c r="G63" s="377">
        <f>G$45*G55/3600</f>
        <v>0</v>
      </c>
      <c r="H63" s="377">
        <f>H$45*H55/3600</f>
        <v>0</v>
      </c>
      <c r="I63" s="377">
        <f t="shared" si="27"/>
        <v>0.31207579672695956</v>
      </c>
      <c r="L63" s="422" t="s">
        <v>292</v>
      </c>
      <c r="M63" s="481">
        <f>C$45*M55/3600</f>
        <v>0.33211443520372363</v>
      </c>
      <c r="N63" s="482"/>
      <c r="O63" s="377">
        <f>E$45*O55/3600</f>
        <v>0</v>
      </c>
      <c r="P63" s="377">
        <f>F$45*P55/3600</f>
        <v>0</v>
      </c>
      <c r="Q63" s="377">
        <f>G$45*Q55/3600</f>
        <v>0</v>
      </c>
      <c r="R63" s="377">
        <f>H$45*R55/3600</f>
        <v>0</v>
      </c>
      <c r="S63" s="377">
        <f t="shared" si="29"/>
        <v>0.33211443520372363</v>
      </c>
    </row>
    <row r="64" spans="2:19" x14ac:dyDescent="0.25">
      <c r="B64" s="422" t="s">
        <v>293</v>
      </c>
      <c r="C64" s="481">
        <f>C$46*C56/3600</f>
        <v>0.84411764705882353</v>
      </c>
      <c r="D64" s="482"/>
      <c r="E64" s="481">
        <f>E$46*E56/3600</f>
        <v>0</v>
      </c>
      <c r="F64" s="482"/>
      <c r="G64" s="377">
        <f>G$46*G56/3600</f>
        <v>0</v>
      </c>
      <c r="H64" s="377">
        <f>H$46*H56/3600</f>
        <v>0</v>
      </c>
      <c r="I64" s="377">
        <f t="shared" si="27"/>
        <v>0.84411764705882353</v>
      </c>
      <c r="L64" s="422" t="s">
        <v>293</v>
      </c>
      <c r="M64" s="481">
        <f>C$46*M56/3600</f>
        <v>0.88785596026490077</v>
      </c>
      <c r="N64" s="482"/>
      <c r="O64" s="481">
        <f>E$46*O56/3600</f>
        <v>0</v>
      </c>
      <c r="P64" s="482"/>
      <c r="Q64" s="481">
        <f>G$46*Q56/3600</f>
        <v>0</v>
      </c>
      <c r="R64" s="482"/>
      <c r="S64" s="377">
        <f t="shared" si="29"/>
        <v>0.88785596026490077</v>
      </c>
    </row>
    <row r="65" spans="2:20" x14ac:dyDescent="0.25">
      <c r="B65" s="422" t="s">
        <v>294</v>
      </c>
      <c r="C65" s="481">
        <f>C$47*C57/3600</f>
        <v>86.162169732229927</v>
      </c>
      <c r="D65" s="482"/>
      <c r="E65" s="481">
        <f>E$47*E57/3600</f>
        <v>0</v>
      </c>
      <c r="F65" s="482"/>
      <c r="G65" s="377">
        <f>G$47*G57/3600</f>
        <v>3.8502690009532445</v>
      </c>
      <c r="H65" s="377">
        <f>H$47*H57/3600</f>
        <v>0</v>
      </c>
      <c r="I65" s="377">
        <f t="shared" si="27"/>
        <v>90.012438733183174</v>
      </c>
      <c r="L65" s="422" t="s">
        <v>294</v>
      </c>
      <c r="M65" s="481">
        <f>C$47*M57/3600</f>
        <v>80.822035484189783</v>
      </c>
      <c r="N65" s="482"/>
      <c r="O65" s="481">
        <f>E$47*O57/3600</f>
        <v>0</v>
      </c>
      <c r="P65" s="482"/>
      <c r="Q65" s="481">
        <f>G$47*Q57/3600</f>
        <v>3.4204531136571661</v>
      </c>
      <c r="R65" s="482"/>
      <c r="S65" s="377">
        <f t="shared" si="29"/>
        <v>84.242488597846943</v>
      </c>
    </row>
    <row r="66" spans="2:20" x14ac:dyDescent="0.25">
      <c r="B66" s="357"/>
      <c r="C66" s="481">
        <f>SUM(C60:D65)</f>
        <v>94.423546519418437</v>
      </c>
      <c r="D66" s="482"/>
      <c r="E66" s="377">
        <f t="shared" ref="E66:H66" si="30">SUM(E60:E65)</f>
        <v>0</v>
      </c>
      <c r="F66" s="377">
        <f t="shared" si="30"/>
        <v>0</v>
      </c>
      <c r="G66" s="377">
        <f t="shared" si="30"/>
        <v>6.4304980332090516</v>
      </c>
      <c r="H66" s="377">
        <f t="shared" si="30"/>
        <v>24.808614187936698</v>
      </c>
      <c r="I66" s="377">
        <f t="shared" si="27"/>
        <v>125.66265874056418</v>
      </c>
      <c r="L66" s="357"/>
      <c r="M66" s="481">
        <f>SUM(M60:N65)</f>
        <v>87.413131377225298</v>
      </c>
      <c r="N66" s="482"/>
      <c r="O66" s="377">
        <f t="shared" ref="O66:R66" si="31">SUM(O60:O65)</f>
        <v>0</v>
      </c>
      <c r="P66" s="377">
        <f t="shared" si="31"/>
        <v>0</v>
      </c>
      <c r="Q66" s="377">
        <f t="shared" si="31"/>
        <v>5.7434946634875965</v>
      </c>
      <c r="R66" s="377">
        <f t="shared" si="31"/>
        <v>24.892475515158829</v>
      </c>
      <c r="S66" s="377">
        <f t="shared" si="29"/>
        <v>118.04910155587172</v>
      </c>
    </row>
    <row r="67" spans="2:20" x14ac:dyDescent="0.25">
      <c r="J67" s="377">
        <f>U17</f>
        <v>124.34333333333332</v>
      </c>
      <c r="T67" s="377">
        <f>W17</f>
        <v>117.10138888888891</v>
      </c>
    </row>
    <row r="69" spans="2:20" x14ac:dyDescent="0.25">
      <c r="B69" s="422" t="s">
        <v>303</v>
      </c>
      <c r="C69" s="422" t="s">
        <v>289</v>
      </c>
      <c r="D69" s="422" t="s">
        <v>290</v>
      </c>
      <c r="E69" s="422" t="s">
        <v>291</v>
      </c>
      <c r="F69" s="422" t="s">
        <v>292</v>
      </c>
      <c r="G69" s="422" t="s">
        <v>293</v>
      </c>
      <c r="H69" s="422" t="s">
        <v>294</v>
      </c>
      <c r="I69" s="357"/>
    </row>
    <row r="70" spans="2:20" x14ac:dyDescent="0.25">
      <c r="B70" s="422" t="s">
        <v>289</v>
      </c>
      <c r="C70" s="377">
        <f>C42*C33/1000</f>
        <v>0</v>
      </c>
      <c r="D70" s="377">
        <f t="shared" ref="D70:H70" si="32">D42*D33/1000</f>
        <v>100.65</v>
      </c>
      <c r="E70" s="481">
        <f t="shared" si="32"/>
        <v>0</v>
      </c>
      <c r="F70" s="482">
        <f t="shared" si="32"/>
        <v>0</v>
      </c>
      <c r="G70" s="377">
        <f t="shared" si="32"/>
        <v>44.315932203389828</v>
      </c>
      <c r="H70" s="377">
        <f t="shared" si="32"/>
        <v>242.66949152542372</v>
      </c>
      <c r="I70" s="377">
        <f>SUM(C70:H70)</f>
        <v>387.63542372881352</v>
      </c>
    </row>
    <row r="71" spans="2:20" x14ac:dyDescent="0.25">
      <c r="B71" s="422" t="s">
        <v>290</v>
      </c>
      <c r="C71" s="377">
        <f t="shared" ref="C71:H71" si="33">C43*C34/1000</f>
        <v>30</v>
      </c>
      <c r="D71" s="377">
        <f t="shared" si="33"/>
        <v>0</v>
      </c>
      <c r="E71" s="481">
        <f t="shared" si="33"/>
        <v>0</v>
      </c>
      <c r="F71" s="482">
        <f t="shared" si="33"/>
        <v>0</v>
      </c>
      <c r="G71" s="377">
        <f t="shared" si="33"/>
        <v>10.734915254237286</v>
      </c>
      <c r="H71" s="377">
        <f t="shared" si="33"/>
        <v>70.104519774011308</v>
      </c>
      <c r="I71" s="377">
        <f t="shared" ref="I71:I76" si="34">SUM(C71:H71)</f>
        <v>110.8394350282486</v>
      </c>
    </row>
    <row r="72" spans="2:20" x14ac:dyDescent="0.25">
      <c r="B72" s="422" t="s">
        <v>291</v>
      </c>
      <c r="C72" s="481">
        <f t="shared" ref="C72:H72" si="35">C44*C35/1000</f>
        <v>15.657937853107345</v>
      </c>
      <c r="D72" s="482">
        <f t="shared" si="35"/>
        <v>0</v>
      </c>
      <c r="E72" s="377">
        <f t="shared" si="35"/>
        <v>0</v>
      </c>
      <c r="F72" s="377">
        <f t="shared" si="35"/>
        <v>0</v>
      </c>
      <c r="G72" s="377">
        <f t="shared" si="35"/>
        <v>0</v>
      </c>
      <c r="H72" s="377">
        <f t="shared" si="35"/>
        <v>181.68559322033897</v>
      </c>
      <c r="I72" s="377">
        <f t="shared" si="34"/>
        <v>197.34353107344631</v>
      </c>
    </row>
    <row r="73" spans="2:20" x14ac:dyDescent="0.25">
      <c r="B73" s="422" t="s">
        <v>292</v>
      </c>
      <c r="C73" s="481">
        <f t="shared" ref="C73:H73" si="36">C45*C36/1000</f>
        <v>2.0649999999999999</v>
      </c>
      <c r="D73" s="482">
        <f t="shared" si="36"/>
        <v>0</v>
      </c>
      <c r="E73" s="377">
        <f t="shared" si="36"/>
        <v>0</v>
      </c>
      <c r="F73" s="377">
        <f t="shared" si="36"/>
        <v>0</v>
      </c>
      <c r="G73" s="377">
        <f t="shared" si="36"/>
        <v>0</v>
      </c>
      <c r="H73" s="377">
        <f t="shared" si="36"/>
        <v>0</v>
      </c>
      <c r="I73" s="377">
        <f t="shared" si="34"/>
        <v>2.0649999999999999</v>
      </c>
    </row>
    <row r="74" spans="2:20" x14ac:dyDescent="0.25">
      <c r="B74" s="422" t="s">
        <v>293</v>
      </c>
      <c r="C74" s="481">
        <f t="shared" ref="C74:H74" si="37">C46*C37/1000</f>
        <v>11.61</v>
      </c>
      <c r="D74" s="482">
        <f t="shared" si="37"/>
        <v>0</v>
      </c>
      <c r="E74" s="481">
        <f t="shared" si="37"/>
        <v>0</v>
      </c>
      <c r="F74" s="482">
        <f t="shared" si="37"/>
        <v>0</v>
      </c>
      <c r="G74" s="377">
        <f t="shared" si="37"/>
        <v>0</v>
      </c>
      <c r="H74" s="377">
        <f t="shared" si="37"/>
        <v>0</v>
      </c>
      <c r="I74" s="377">
        <f t="shared" si="34"/>
        <v>11.61</v>
      </c>
    </row>
    <row r="75" spans="2:20" x14ac:dyDescent="0.25">
      <c r="B75" s="422" t="s">
        <v>294</v>
      </c>
      <c r="C75" s="481">
        <f t="shared" ref="C75:H75" si="38">C47*C38/1000</f>
        <v>795.39689265536731</v>
      </c>
      <c r="D75" s="482">
        <f t="shared" si="38"/>
        <v>0</v>
      </c>
      <c r="E75" s="481">
        <f t="shared" si="38"/>
        <v>0</v>
      </c>
      <c r="F75" s="482">
        <f t="shared" si="38"/>
        <v>0</v>
      </c>
      <c r="G75" s="377">
        <f t="shared" si="38"/>
        <v>27.944858757062146</v>
      </c>
      <c r="H75" s="377">
        <f t="shared" si="38"/>
        <v>0</v>
      </c>
      <c r="I75" s="377">
        <f t="shared" si="34"/>
        <v>823.3417514124294</v>
      </c>
    </row>
    <row r="76" spans="2:20" x14ac:dyDescent="0.25">
      <c r="B76" s="357"/>
      <c r="C76" s="481">
        <f>SUM(C70:D75)</f>
        <v>955.3798305084747</v>
      </c>
      <c r="D76" s="482"/>
      <c r="E76" s="377">
        <f t="shared" ref="E76:H76" si="39">SUM(E70:E75)</f>
        <v>0</v>
      </c>
      <c r="F76" s="377">
        <f t="shared" si="39"/>
        <v>0</v>
      </c>
      <c r="G76" s="377">
        <f t="shared" si="39"/>
        <v>82.995706214689264</v>
      </c>
      <c r="H76" s="377">
        <f t="shared" si="39"/>
        <v>494.45960451977396</v>
      </c>
      <c r="I76" s="377">
        <f t="shared" si="34"/>
        <v>1532.8351412429379</v>
      </c>
    </row>
  </sheetData>
  <mergeCells count="90">
    <mergeCell ref="Q64:R64"/>
    <mergeCell ref="Q65:R65"/>
    <mergeCell ref="C76:D76"/>
    <mergeCell ref="E70:F70"/>
    <mergeCell ref="E71:F71"/>
    <mergeCell ref="C72:D72"/>
    <mergeCell ref="C73:D73"/>
    <mergeCell ref="C74:D74"/>
    <mergeCell ref="E74:F74"/>
    <mergeCell ref="C75:D75"/>
    <mergeCell ref="E75:F75"/>
    <mergeCell ref="M66:N66"/>
    <mergeCell ref="E65:F65"/>
    <mergeCell ref="C64:D64"/>
    <mergeCell ref="C65:D65"/>
    <mergeCell ref="C66:D66"/>
    <mergeCell ref="O60:P60"/>
    <mergeCell ref="M62:N62"/>
    <mergeCell ref="O61:P61"/>
    <mergeCell ref="M65:N65"/>
    <mergeCell ref="O65:P65"/>
    <mergeCell ref="M63:N63"/>
    <mergeCell ref="M64:N64"/>
    <mergeCell ref="O64:P64"/>
    <mergeCell ref="O52:P52"/>
    <mergeCell ref="O53:P53"/>
    <mergeCell ref="O56:P56"/>
    <mergeCell ref="O57:P57"/>
    <mergeCell ref="E57:F57"/>
    <mergeCell ref="M54:N54"/>
    <mergeCell ref="M55:N55"/>
    <mergeCell ref="M56:N56"/>
    <mergeCell ref="M57:N57"/>
    <mergeCell ref="E33:F33"/>
    <mergeCell ref="E37:F37"/>
    <mergeCell ref="E38:F38"/>
    <mergeCell ref="E52:F52"/>
    <mergeCell ref="E56:F56"/>
    <mergeCell ref="E42:F42"/>
    <mergeCell ref="E46:F46"/>
    <mergeCell ref="E47:F47"/>
    <mergeCell ref="E48:F48"/>
    <mergeCell ref="E49:F49"/>
    <mergeCell ref="E34:F34"/>
    <mergeCell ref="E53:F53"/>
    <mergeCell ref="E43:F43"/>
    <mergeCell ref="E64:F64"/>
    <mergeCell ref="C48:D48"/>
    <mergeCell ref="C49:D49"/>
    <mergeCell ref="C62:D62"/>
    <mergeCell ref="C63:D63"/>
    <mergeCell ref="E61:F61"/>
    <mergeCell ref="E60:F60"/>
    <mergeCell ref="C57:D57"/>
    <mergeCell ref="C56:D56"/>
    <mergeCell ref="C35:D35"/>
    <mergeCell ref="C36:D36"/>
    <mergeCell ref="C37:D37"/>
    <mergeCell ref="C54:D54"/>
    <mergeCell ref="C55:D55"/>
    <mergeCell ref="C38:D38"/>
    <mergeCell ref="C44:D44"/>
    <mergeCell ref="C45:D45"/>
    <mergeCell ref="C46:D46"/>
    <mergeCell ref="C47:D47"/>
    <mergeCell ref="B18:B20"/>
    <mergeCell ref="C18:H18"/>
    <mergeCell ref="C19:D19"/>
    <mergeCell ref="E19:F19"/>
    <mergeCell ref="G19:H19"/>
    <mergeCell ref="U4:Z4"/>
    <mergeCell ref="U5:V5"/>
    <mergeCell ref="W5:X5"/>
    <mergeCell ref="Y5:Z5"/>
    <mergeCell ref="U17:V17"/>
    <mergeCell ref="W17:X17"/>
    <mergeCell ref="Y17:Z17"/>
    <mergeCell ref="B4:B6"/>
    <mergeCell ref="C4:H4"/>
    <mergeCell ref="I4:N4"/>
    <mergeCell ref="O4:T4"/>
    <mergeCell ref="C5:D5"/>
    <mergeCell ref="E5:F5"/>
    <mergeCell ref="G5:H5"/>
    <mergeCell ref="I5:J5"/>
    <mergeCell ref="K5:L5"/>
    <mergeCell ref="M5:N5"/>
    <mergeCell ref="O5:P5"/>
    <mergeCell ref="Q5:R5"/>
    <mergeCell ref="S5:T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6"/>
  <sheetViews>
    <sheetView zoomScale="85" zoomScaleNormal="85" workbookViewId="0">
      <selection activeCell="M29" sqref="M29"/>
    </sheetView>
  </sheetViews>
  <sheetFormatPr defaultRowHeight="15" x14ac:dyDescent="0.25"/>
  <cols>
    <col min="1" max="1" width="4.7109375" customWidth="1"/>
    <col min="2" max="2" width="13.140625" customWidth="1"/>
    <col min="3" max="3" width="9.5703125" bestFit="1" customWidth="1"/>
    <col min="12" max="12" width="16.28515625" customWidth="1"/>
  </cols>
  <sheetData>
    <row r="1" spans="2:26" ht="14.45" x14ac:dyDescent="0.3">
      <c r="B1" s="408" t="str">
        <f>Cost_Estimate!C2</f>
        <v>Chesterfield Road - Heeley Bridge / Broadfield Road</v>
      </c>
    </row>
    <row r="2" spans="2:26" thickBot="1" x14ac:dyDescent="0.35"/>
    <row r="3" spans="2:26" hidden="1" thickBot="1" x14ac:dyDescent="0.35"/>
    <row r="4" spans="2:26" ht="14.45" hidden="1" x14ac:dyDescent="0.3">
      <c r="B4" s="467" t="s">
        <v>241</v>
      </c>
      <c r="C4" s="461" t="s">
        <v>247</v>
      </c>
      <c r="D4" s="462"/>
      <c r="E4" s="462"/>
      <c r="F4" s="462"/>
      <c r="G4" s="462"/>
      <c r="H4" s="463"/>
      <c r="I4" s="470" t="s">
        <v>248</v>
      </c>
      <c r="J4" s="462"/>
      <c r="K4" s="462"/>
      <c r="L4" s="462"/>
      <c r="M4" s="462"/>
      <c r="N4" s="463"/>
      <c r="O4" s="470" t="s">
        <v>285</v>
      </c>
      <c r="P4" s="462"/>
      <c r="Q4" s="462"/>
      <c r="R4" s="462"/>
      <c r="S4" s="462"/>
      <c r="T4" s="463"/>
      <c r="U4" s="461" t="s">
        <v>286</v>
      </c>
      <c r="V4" s="462"/>
      <c r="W4" s="462"/>
      <c r="X4" s="462"/>
      <c r="Y4" s="462"/>
      <c r="Z4" s="463"/>
    </row>
    <row r="5" spans="2:26" ht="14.45" hidden="1" x14ac:dyDescent="0.3">
      <c r="B5" s="468"/>
      <c r="C5" s="464" t="s">
        <v>244</v>
      </c>
      <c r="D5" s="465"/>
      <c r="E5" s="465" t="s">
        <v>245</v>
      </c>
      <c r="F5" s="465"/>
      <c r="G5" s="465" t="s">
        <v>246</v>
      </c>
      <c r="H5" s="466"/>
      <c r="I5" s="471" t="s">
        <v>244</v>
      </c>
      <c r="J5" s="465"/>
      <c r="K5" s="465" t="s">
        <v>245</v>
      </c>
      <c r="L5" s="465"/>
      <c r="M5" s="465" t="s">
        <v>246</v>
      </c>
      <c r="N5" s="466"/>
      <c r="O5" s="471" t="s">
        <v>244</v>
      </c>
      <c r="P5" s="465"/>
      <c r="Q5" s="465" t="s">
        <v>245</v>
      </c>
      <c r="R5" s="465"/>
      <c r="S5" s="465" t="s">
        <v>246</v>
      </c>
      <c r="T5" s="466"/>
      <c r="U5" s="464" t="s">
        <v>244</v>
      </c>
      <c r="V5" s="465"/>
      <c r="W5" s="465" t="s">
        <v>245</v>
      </c>
      <c r="X5" s="465"/>
      <c r="Y5" s="465" t="s">
        <v>246</v>
      </c>
      <c r="Z5" s="466"/>
    </row>
    <row r="6" spans="2:26" hidden="1" thickBot="1" x14ac:dyDescent="0.35">
      <c r="B6" s="469"/>
      <c r="C6" s="348" t="s">
        <v>92</v>
      </c>
      <c r="D6" s="349" t="s">
        <v>90</v>
      </c>
      <c r="E6" s="349" t="s">
        <v>92</v>
      </c>
      <c r="F6" s="349" t="s">
        <v>90</v>
      </c>
      <c r="G6" s="349" t="s">
        <v>92</v>
      </c>
      <c r="H6" s="350" t="s">
        <v>90</v>
      </c>
      <c r="I6" s="351" t="s">
        <v>92</v>
      </c>
      <c r="J6" s="349" t="s">
        <v>90</v>
      </c>
      <c r="K6" s="349" t="s">
        <v>92</v>
      </c>
      <c r="L6" s="349" t="s">
        <v>90</v>
      </c>
      <c r="M6" s="349" t="s">
        <v>92</v>
      </c>
      <c r="N6" s="350" t="s">
        <v>90</v>
      </c>
      <c r="O6" s="351" t="s">
        <v>92</v>
      </c>
      <c r="P6" s="349" t="s">
        <v>90</v>
      </c>
      <c r="Q6" s="349" t="s">
        <v>92</v>
      </c>
      <c r="R6" s="349" t="s">
        <v>90</v>
      </c>
      <c r="S6" s="349" t="s">
        <v>92</v>
      </c>
      <c r="T6" s="350" t="s">
        <v>90</v>
      </c>
      <c r="U6" s="348" t="s">
        <v>92</v>
      </c>
      <c r="V6" s="349" t="s">
        <v>90</v>
      </c>
      <c r="W6" s="349" t="s">
        <v>92</v>
      </c>
      <c r="X6" s="349" t="s">
        <v>90</v>
      </c>
      <c r="Y6" s="349" t="s">
        <v>92</v>
      </c>
      <c r="Z6" s="350" t="s">
        <v>90</v>
      </c>
    </row>
    <row r="7" spans="2:26" ht="14.45" hidden="1" x14ac:dyDescent="0.3">
      <c r="B7" s="409">
        <v>1</v>
      </c>
      <c r="C7" s="352">
        <v>361</v>
      </c>
      <c r="D7" s="353">
        <v>29</v>
      </c>
      <c r="E7" s="353">
        <v>361</v>
      </c>
      <c r="F7" s="353">
        <v>29</v>
      </c>
      <c r="G7" s="353">
        <f>E7-C7</f>
        <v>0</v>
      </c>
      <c r="H7" s="354">
        <f t="shared" ref="H7:H14" si="0">F7-D7</f>
        <v>0</v>
      </c>
      <c r="I7" s="355">
        <v>62</v>
      </c>
      <c r="J7" s="353">
        <v>174</v>
      </c>
      <c r="K7" s="353">
        <v>64</v>
      </c>
      <c r="L7" s="353">
        <v>178</v>
      </c>
      <c r="M7" s="353">
        <f>K7-I7</f>
        <v>2</v>
      </c>
      <c r="N7" s="354">
        <f t="shared" ref="N7:N15" si="1">L7-J7</f>
        <v>4</v>
      </c>
      <c r="O7" s="355">
        <f>C7*I7</f>
        <v>22382</v>
      </c>
      <c r="P7" s="355">
        <f t="shared" ref="P7:R14" si="2">D7*J7</f>
        <v>5046</v>
      </c>
      <c r="Q7" s="355">
        <f t="shared" si="2"/>
        <v>23104</v>
      </c>
      <c r="R7" s="355">
        <f t="shared" si="2"/>
        <v>5162</v>
      </c>
      <c r="S7" s="353">
        <f>Q7-O7</f>
        <v>722</v>
      </c>
      <c r="T7" s="354">
        <f t="shared" ref="T7:T14" si="3">R7-P7</f>
        <v>116</v>
      </c>
      <c r="U7" s="373">
        <f t="shared" ref="U7:X14" si="4">O7/60</f>
        <v>373.03333333333336</v>
      </c>
      <c r="V7" s="374">
        <f t="shared" si="4"/>
        <v>84.1</v>
      </c>
      <c r="W7" s="374">
        <f t="shared" si="4"/>
        <v>385.06666666666666</v>
      </c>
      <c r="X7" s="374">
        <f t="shared" si="4"/>
        <v>86.033333333333331</v>
      </c>
      <c r="Y7" s="375">
        <f>W7-U7</f>
        <v>12.033333333333303</v>
      </c>
      <c r="Z7" s="376">
        <f t="shared" ref="Z7:Z14" si="5">X7-V7</f>
        <v>1.9333333333333371</v>
      </c>
    </row>
    <row r="8" spans="2:26" ht="14.45" hidden="1" x14ac:dyDescent="0.3">
      <c r="B8" s="410">
        <v>2</v>
      </c>
      <c r="C8" s="356">
        <v>282</v>
      </c>
      <c r="D8" s="357">
        <v>17</v>
      </c>
      <c r="E8" s="357">
        <v>284</v>
      </c>
      <c r="F8" s="357">
        <v>17</v>
      </c>
      <c r="G8" s="357">
        <f t="shared" ref="G8:G14" si="6">E8-C8</f>
        <v>2</v>
      </c>
      <c r="H8" s="358">
        <f t="shared" si="0"/>
        <v>0</v>
      </c>
      <c r="I8" s="359">
        <v>80</v>
      </c>
      <c r="J8" s="357">
        <v>119</v>
      </c>
      <c r="K8" s="357">
        <v>76</v>
      </c>
      <c r="L8" s="357">
        <v>113</v>
      </c>
      <c r="M8" s="357">
        <f t="shared" ref="M8:M15" si="7">K8-I8</f>
        <v>-4</v>
      </c>
      <c r="N8" s="358">
        <f t="shared" si="1"/>
        <v>-6</v>
      </c>
      <c r="O8" s="355">
        <f t="shared" ref="O8:O14" si="8">C8*I8</f>
        <v>22560</v>
      </c>
      <c r="P8" s="355">
        <f t="shared" si="2"/>
        <v>2023</v>
      </c>
      <c r="Q8" s="355">
        <f t="shared" si="2"/>
        <v>21584</v>
      </c>
      <c r="R8" s="355">
        <f t="shared" si="2"/>
        <v>1921</v>
      </c>
      <c r="S8" s="357">
        <f t="shared" ref="S8:S14" si="9">Q8-O8</f>
        <v>-976</v>
      </c>
      <c r="T8" s="358">
        <f t="shared" si="3"/>
        <v>-102</v>
      </c>
      <c r="U8" s="373">
        <f t="shared" si="4"/>
        <v>376</v>
      </c>
      <c r="V8" s="374">
        <f t="shared" si="4"/>
        <v>33.716666666666669</v>
      </c>
      <c r="W8" s="374">
        <f t="shared" si="4"/>
        <v>359.73333333333335</v>
      </c>
      <c r="X8" s="374">
        <f t="shared" si="4"/>
        <v>32.016666666666666</v>
      </c>
      <c r="Y8" s="377">
        <f t="shared" ref="Y8:Y14" si="10">W8-U8</f>
        <v>-16.266666666666652</v>
      </c>
      <c r="Z8" s="378">
        <f t="shared" si="5"/>
        <v>-1.7000000000000028</v>
      </c>
    </row>
    <row r="9" spans="2:26" ht="14.45" hidden="1" x14ac:dyDescent="0.3">
      <c r="B9" s="410">
        <v>3</v>
      </c>
      <c r="C9" s="356">
        <v>398</v>
      </c>
      <c r="D9" s="357">
        <v>17</v>
      </c>
      <c r="E9" s="357">
        <v>403</v>
      </c>
      <c r="F9" s="357">
        <v>17</v>
      </c>
      <c r="G9" s="357">
        <f t="shared" si="6"/>
        <v>5</v>
      </c>
      <c r="H9" s="358">
        <f t="shared" si="0"/>
        <v>0</v>
      </c>
      <c r="I9" s="359">
        <v>92</v>
      </c>
      <c r="J9" s="357">
        <v>119</v>
      </c>
      <c r="K9" s="357">
        <v>102</v>
      </c>
      <c r="L9" s="357">
        <v>126</v>
      </c>
      <c r="M9" s="357">
        <f t="shared" si="7"/>
        <v>10</v>
      </c>
      <c r="N9" s="358">
        <f t="shared" si="1"/>
        <v>7</v>
      </c>
      <c r="O9" s="355">
        <f t="shared" si="8"/>
        <v>36616</v>
      </c>
      <c r="P9" s="355">
        <f t="shared" si="2"/>
        <v>2023</v>
      </c>
      <c r="Q9" s="355">
        <f t="shared" si="2"/>
        <v>41106</v>
      </c>
      <c r="R9" s="355">
        <f t="shared" si="2"/>
        <v>2142</v>
      </c>
      <c r="S9" s="357">
        <f t="shared" si="9"/>
        <v>4490</v>
      </c>
      <c r="T9" s="358">
        <f t="shared" si="3"/>
        <v>119</v>
      </c>
      <c r="U9" s="373">
        <f t="shared" si="4"/>
        <v>610.26666666666665</v>
      </c>
      <c r="V9" s="374">
        <f t="shared" si="4"/>
        <v>33.716666666666669</v>
      </c>
      <c r="W9" s="374">
        <f t="shared" si="4"/>
        <v>685.1</v>
      </c>
      <c r="X9" s="374">
        <f t="shared" si="4"/>
        <v>35.700000000000003</v>
      </c>
      <c r="Y9" s="377">
        <f t="shared" si="10"/>
        <v>74.833333333333371</v>
      </c>
      <c r="Z9" s="378">
        <f t="shared" si="5"/>
        <v>1.9833333333333343</v>
      </c>
    </row>
    <row r="10" spans="2:26" ht="14.45" hidden="1" x14ac:dyDescent="0.3">
      <c r="B10" s="411">
        <v>4</v>
      </c>
      <c r="C10" s="356">
        <v>869</v>
      </c>
      <c r="D10" s="357">
        <v>22</v>
      </c>
      <c r="E10" s="357">
        <v>872</v>
      </c>
      <c r="F10" s="357">
        <v>23</v>
      </c>
      <c r="G10" s="357">
        <f t="shared" si="6"/>
        <v>3</v>
      </c>
      <c r="H10" s="358">
        <f t="shared" si="0"/>
        <v>1</v>
      </c>
      <c r="I10" s="359">
        <v>256</v>
      </c>
      <c r="J10" s="357">
        <v>334</v>
      </c>
      <c r="K10" s="357">
        <v>227</v>
      </c>
      <c r="L10" s="357">
        <v>310</v>
      </c>
      <c r="M10" s="357">
        <f t="shared" si="7"/>
        <v>-29</v>
      </c>
      <c r="N10" s="358">
        <f t="shared" si="1"/>
        <v>-24</v>
      </c>
      <c r="O10" s="355">
        <f t="shared" si="8"/>
        <v>222464</v>
      </c>
      <c r="P10" s="355">
        <f t="shared" si="2"/>
        <v>7348</v>
      </c>
      <c r="Q10" s="355">
        <f t="shared" si="2"/>
        <v>197944</v>
      </c>
      <c r="R10" s="355">
        <f t="shared" si="2"/>
        <v>7130</v>
      </c>
      <c r="S10" s="357">
        <f t="shared" si="9"/>
        <v>-24520</v>
      </c>
      <c r="T10" s="358">
        <f t="shared" si="3"/>
        <v>-218</v>
      </c>
      <c r="U10" s="373">
        <f t="shared" si="4"/>
        <v>3707.7333333333331</v>
      </c>
      <c r="V10" s="374">
        <f t="shared" si="4"/>
        <v>122.46666666666667</v>
      </c>
      <c r="W10" s="374">
        <f t="shared" si="4"/>
        <v>3299.0666666666666</v>
      </c>
      <c r="X10" s="374">
        <f t="shared" si="4"/>
        <v>118.83333333333333</v>
      </c>
      <c r="Y10" s="377">
        <f t="shared" si="10"/>
        <v>-408.66666666666652</v>
      </c>
      <c r="Z10" s="378">
        <f t="shared" si="5"/>
        <v>-3.63333333333334</v>
      </c>
    </row>
    <row r="11" spans="2:26" ht="14.45" hidden="1" x14ac:dyDescent="0.3">
      <c r="B11" s="411">
        <v>5</v>
      </c>
      <c r="C11" s="356">
        <v>897</v>
      </c>
      <c r="D11" s="357">
        <v>21</v>
      </c>
      <c r="E11" s="357">
        <v>883</v>
      </c>
      <c r="F11" s="357">
        <v>23</v>
      </c>
      <c r="G11" s="357">
        <f t="shared" si="6"/>
        <v>-14</v>
      </c>
      <c r="H11" s="358">
        <f t="shared" si="0"/>
        <v>2</v>
      </c>
      <c r="I11" s="359">
        <v>112</v>
      </c>
      <c r="J11" s="357">
        <v>136</v>
      </c>
      <c r="K11" s="357">
        <v>118</v>
      </c>
      <c r="L11" s="357">
        <v>133</v>
      </c>
      <c r="M11" s="357">
        <f t="shared" si="7"/>
        <v>6</v>
      </c>
      <c r="N11" s="358">
        <f t="shared" si="1"/>
        <v>-3</v>
      </c>
      <c r="O11" s="355">
        <f t="shared" si="8"/>
        <v>100464</v>
      </c>
      <c r="P11" s="355">
        <f t="shared" si="2"/>
        <v>2856</v>
      </c>
      <c r="Q11" s="355">
        <f t="shared" si="2"/>
        <v>104194</v>
      </c>
      <c r="R11" s="355">
        <f t="shared" si="2"/>
        <v>3059</v>
      </c>
      <c r="S11" s="357">
        <f t="shared" si="9"/>
        <v>3730</v>
      </c>
      <c r="T11" s="358">
        <f t="shared" si="3"/>
        <v>203</v>
      </c>
      <c r="U11" s="373">
        <f t="shared" si="4"/>
        <v>1674.4</v>
      </c>
      <c r="V11" s="374">
        <f t="shared" si="4"/>
        <v>47.6</v>
      </c>
      <c r="W11" s="374">
        <f t="shared" si="4"/>
        <v>1736.5666666666666</v>
      </c>
      <c r="X11" s="374">
        <f t="shared" si="4"/>
        <v>50.983333333333334</v>
      </c>
      <c r="Y11" s="377">
        <f t="shared" si="10"/>
        <v>62.166666666666515</v>
      </c>
      <c r="Z11" s="378">
        <f t="shared" si="5"/>
        <v>3.3833333333333329</v>
      </c>
    </row>
    <row r="12" spans="2:26" ht="14.45" hidden="1" x14ac:dyDescent="0.3">
      <c r="B12" s="412">
        <v>6</v>
      </c>
      <c r="C12" s="356">
        <v>0</v>
      </c>
      <c r="D12" s="357">
        <v>7</v>
      </c>
      <c r="E12" s="357">
        <v>0</v>
      </c>
      <c r="F12" s="357">
        <v>7</v>
      </c>
      <c r="G12" s="357">
        <f t="shared" si="6"/>
        <v>0</v>
      </c>
      <c r="H12" s="358">
        <f t="shared" si="0"/>
        <v>0</v>
      </c>
      <c r="I12" s="359">
        <v>0</v>
      </c>
      <c r="J12" s="357">
        <v>116</v>
      </c>
      <c r="K12" s="357">
        <v>0</v>
      </c>
      <c r="L12" s="357">
        <v>124</v>
      </c>
      <c r="M12" s="357">
        <f t="shared" si="7"/>
        <v>0</v>
      </c>
      <c r="N12" s="358">
        <f t="shared" si="1"/>
        <v>8</v>
      </c>
      <c r="O12" s="355">
        <f t="shared" si="8"/>
        <v>0</v>
      </c>
      <c r="P12" s="355">
        <f t="shared" si="2"/>
        <v>812</v>
      </c>
      <c r="Q12" s="355">
        <f t="shared" si="2"/>
        <v>0</v>
      </c>
      <c r="R12" s="355">
        <f t="shared" si="2"/>
        <v>868</v>
      </c>
      <c r="S12" s="357">
        <f t="shared" si="9"/>
        <v>0</v>
      </c>
      <c r="T12" s="358">
        <f t="shared" si="3"/>
        <v>56</v>
      </c>
      <c r="U12" s="373">
        <f t="shared" si="4"/>
        <v>0</v>
      </c>
      <c r="V12" s="374">
        <f t="shared" si="4"/>
        <v>13.533333333333333</v>
      </c>
      <c r="W12" s="374">
        <f t="shared" si="4"/>
        <v>0</v>
      </c>
      <c r="X12" s="374">
        <f t="shared" si="4"/>
        <v>14.466666666666667</v>
      </c>
      <c r="Y12" s="377">
        <f t="shared" si="10"/>
        <v>0</v>
      </c>
      <c r="Z12" s="378">
        <f t="shared" si="5"/>
        <v>0.93333333333333357</v>
      </c>
    </row>
    <row r="13" spans="2:26" ht="14.45" hidden="1" x14ac:dyDescent="0.3">
      <c r="B13" s="413">
        <v>7</v>
      </c>
      <c r="C13" s="356">
        <v>239</v>
      </c>
      <c r="D13" s="357">
        <v>0</v>
      </c>
      <c r="E13" s="357">
        <v>252</v>
      </c>
      <c r="F13" s="357">
        <v>0</v>
      </c>
      <c r="G13" s="357">
        <f t="shared" si="6"/>
        <v>13</v>
      </c>
      <c r="H13" s="358">
        <f t="shared" si="0"/>
        <v>0</v>
      </c>
      <c r="I13" s="359">
        <v>41</v>
      </c>
      <c r="J13" s="357">
        <v>0</v>
      </c>
      <c r="K13" s="357">
        <v>41</v>
      </c>
      <c r="L13" s="357">
        <v>0</v>
      </c>
      <c r="M13" s="357">
        <f t="shared" si="7"/>
        <v>0</v>
      </c>
      <c r="N13" s="358">
        <f t="shared" si="1"/>
        <v>0</v>
      </c>
      <c r="O13" s="355">
        <f t="shared" si="8"/>
        <v>9799</v>
      </c>
      <c r="P13" s="355">
        <f t="shared" si="2"/>
        <v>0</v>
      </c>
      <c r="Q13" s="355">
        <f t="shared" si="2"/>
        <v>10332</v>
      </c>
      <c r="R13" s="355">
        <f t="shared" si="2"/>
        <v>0</v>
      </c>
      <c r="S13" s="357">
        <f t="shared" si="9"/>
        <v>533</v>
      </c>
      <c r="T13" s="358">
        <f t="shared" si="3"/>
        <v>0</v>
      </c>
      <c r="U13" s="373">
        <f t="shared" si="4"/>
        <v>163.31666666666666</v>
      </c>
      <c r="V13" s="374">
        <f t="shared" si="4"/>
        <v>0</v>
      </c>
      <c r="W13" s="374">
        <f t="shared" si="4"/>
        <v>172.2</v>
      </c>
      <c r="X13" s="374">
        <f t="shared" si="4"/>
        <v>0</v>
      </c>
      <c r="Y13" s="377">
        <f t="shared" si="10"/>
        <v>8.8833333333333258</v>
      </c>
      <c r="Z13" s="378">
        <f t="shared" si="5"/>
        <v>0</v>
      </c>
    </row>
    <row r="14" spans="2:26" hidden="1" thickBot="1" x14ac:dyDescent="0.35">
      <c r="B14" s="414">
        <v>8</v>
      </c>
      <c r="C14" s="360">
        <v>227</v>
      </c>
      <c r="D14" s="361">
        <v>1</v>
      </c>
      <c r="E14" s="361">
        <v>229</v>
      </c>
      <c r="F14" s="361">
        <v>1</v>
      </c>
      <c r="G14" s="361">
        <f t="shared" si="6"/>
        <v>2</v>
      </c>
      <c r="H14" s="362">
        <f t="shared" si="0"/>
        <v>0</v>
      </c>
      <c r="I14" s="363">
        <v>58</v>
      </c>
      <c r="J14" s="361">
        <v>77</v>
      </c>
      <c r="K14" s="361">
        <v>13</v>
      </c>
      <c r="L14" s="361">
        <v>42</v>
      </c>
      <c r="M14" s="361">
        <f t="shared" si="7"/>
        <v>-45</v>
      </c>
      <c r="N14" s="362">
        <f t="shared" si="1"/>
        <v>-35</v>
      </c>
      <c r="O14" s="355">
        <f t="shared" si="8"/>
        <v>13166</v>
      </c>
      <c r="P14" s="355">
        <f t="shared" si="2"/>
        <v>77</v>
      </c>
      <c r="Q14" s="355">
        <f t="shared" si="2"/>
        <v>2977</v>
      </c>
      <c r="R14" s="355">
        <f t="shared" si="2"/>
        <v>42</v>
      </c>
      <c r="S14" s="361">
        <f t="shared" si="9"/>
        <v>-10189</v>
      </c>
      <c r="T14" s="362">
        <f t="shared" si="3"/>
        <v>-35</v>
      </c>
      <c r="U14" s="373">
        <f t="shared" si="4"/>
        <v>219.43333333333334</v>
      </c>
      <c r="V14" s="374">
        <f t="shared" si="4"/>
        <v>1.2833333333333334</v>
      </c>
      <c r="W14" s="374">
        <f t="shared" si="4"/>
        <v>49.616666666666667</v>
      </c>
      <c r="X14" s="374">
        <f t="shared" si="4"/>
        <v>0.7</v>
      </c>
      <c r="Y14" s="379">
        <f t="shared" si="10"/>
        <v>-169.81666666666666</v>
      </c>
      <c r="Z14" s="380">
        <f t="shared" si="5"/>
        <v>-0.58333333333333348</v>
      </c>
    </row>
    <row r="15" spans="2:26" hidden="1" thickBot="1" x14ac:dyDescent="0.35">
      <c r="B15" s="364"/>
      <c r="C15" s="365">
        <f>SUM(C7:C14)</f>
        <v>3273</v>
      </c>
      <c r="D15" s="366">
        <f t="shared" ref="D15:Z15" si="11">SUM(D7:D14)</f>
        <v>114</v>
      </c>
      <c r="E15" s="366">
        <f t="shared" si="11"/>
        <v>3284</v>
      </c>
      <c r="F15" s="366">
        <f t="shared" si="11"/>
        <v>117</v>
      </c>
      <c r="G15" s="366">
        <f t="shared" si="11"/>
        <v>11</v>
      </c>
      <c r="H15" s="367">
        <f t="shared" si="11"/>
        <v>3</v>
      </c>
      <c r="I15" s="368">
        <f>O15/C15</f>
        <v>130.59914451573479</v>
      </c>
      <c r="J15" s="369">
        <f t="shared" ref="J15:L15" si="12">P15/D15</f>
        <v>177.06140350877192</v>
      </c>
      <c r="K15" s="369">
        <f t="shared" si="12"/>
        <v>122.18057247259439</v>
      </c>
      <c r="L15" s="369">
        <f t="shared" si="12"/>
        <v>173.7094017094017</v>
      </c>
      <c r="M15" s="369">
        <f t="shared" si="7"/>
        <v>-8.4185720431404008</v>
      </c>
      <c r="N15" s="370">
        <f t="shared" si="1"/>
        <v>-3.352001799370214</v>
      </c>
      <c r="O15" s="371">
        <f t="shared" si="11"/>
        <v>427451</v>
      </c>
      <c r="P15" s="366">
        <f t="shared" si="11"/>
        <v>20185</v>
      </c>
      <c r="Q15" s="366">
        <f t="shared" si="11"/>
        <v>401241</v>
      </c>
      <c r="R15" s="366">
        <f t="shared" si="11"/>
        <v>20324</v>
      </c>
      <c r="S15" s="366">
        <f t="shared" si="11"/>
        <v>-26210</v>
      </c>
      <c r="T15" s="367">
        <f t="shared" si="11"/>
        <v>139</v>
      </c>
      <c r="U15" s="381">
        <f t="shared" si="11"/>
        <v>7124.1833333333325</v>
      </c>
      <c r="V15" s="382">
        <f t="shared" si="11"/>
        <v>336.41666666666674</v>
      </c>
      <c r="W15" s="382">
        <f t="shared" si="11"/>
        <v>6687.35</v>
      </c>
      <c r="X15" s="382">
        <f t="shared" si="11"/>
        <v>338.73333333333329</v>
      </c>
      <c r="Y15" s="382">
        <f t="shared" si="11"/>
        <v>-436.83333333333331</v>
      </c>
      <c r="Z15" s="383">
        <f t="shared" si="11"/>
        <v>2.3166666666666615</v>
      </c>
    </row>
    <row r="16" spans="2:26" ht="14.45" hidden="1" x14ac:dyDescent="0.3">
      <c r="C16" s="372">
        <f>C15/(C15+D15)</f>
        <v>0.96634189548272809</v>
      </c>
      <c r="D16" s="372">
        <f>D15/(C15+D15)</f>
        <v>3.3658104517271921E-2</v>
      </c>
      <c r="U16" s="415">
        <f>U15/60</f>
        <v>118.73638888888887</v>
      </c>
      <c r="V16" s="415">
        <f t="shared" ref="V16:X16" si="13">V15/60</f>
        <v>5.6069444444444461</v>
      </c>
      <c r="W16" s="415">
        <f t="shared" si="13"/>
        <v>111.45583333333335</v>
      </c>
      <c r="X16" s="415">
        <f t="shared" si="13"/>
        <v>5.6455555555555552</v>
      </c>
      <c r="Y16" s="415">
        <f t="shared" ref="Y16:Z16" si="14">W16-U16</f>
        <v>-7.280555555555523</v>
      </c>
      <c r="Z16" s="415">
        <f t="shared" si="14"/>
        <v>3.8611111111109153E-2</v>
      </c>
    </row>
    <row r="17" spans="2:26" hidden="1" thickBot="1" x14ac:dyDescent="0.35">
      <c r="U17" s="472">
        <f>U16+V16</f>
        <v>124.34333333333332</v>
      </c>
      <c r="V17" s="472"/>
      <c r="W17" s="472">
        <f>W16+X16</f>
        <v>117.10138888888891</v>
      </c>
      <c r="X17" s="472"/>
      <c r="Y17" s="472">
        <f>W17-U17</f>
        <v>-7.2419444444444139</v>
      </c>
      <c r="Z17" s="472"/>
    </row>
    <row r="18" spans="2:26" x14ac:dyDescent="0.25">
      <c r="B18" s="475" t="s">
        <v>241</v>
      </c>
      <c r="C18" s="461" t="s">
        <v>328</v>
      </c>
      <c r="D18" s="462"/>
      <c r="E18" s="462"/>
      <c r="F18" s="462"/>
      <c r="G18" s="462"/>
      <c r="H18" s="463"/>
    </row>
    <row r="19" spans="2:26" x14ac:dyDescent="0.25">
      <c r="B19" s="476"/>
      <c r="C19" s="464" t="s">
        <v>244</v>
      </c>
      <c r="D19" s="465"/>
      <c r="E19" s="465" t="s">
        <v>245</v>
      </c>
      <c r="F19" s="465"/>
      <c r="G19" s="465" t="s">
        <v>246</v>
      </c>
      <c r="H19" s="466"/>
    </row>
    <row r="20" spans="2:26" ht="15.75" thickBot="1" x14ac:dyDescent="0.3">
      <c r="B20" s="477"/>
      <c r="C20" s="348" t="s">
        <v>295</v>
      </c>
      <c r="D20" s="349" t="s">
        <v>296</v>
      </c>
      <c r="E20" s="349" t="s">
        <v>295</v>
      </c>
      <c r="F20" s="349" t="s">
        <v>296</v>
      </c>
      <c r="G20" s="349" t="s">
        <v>295</v>
      </c>
      <c r="H20" s="350" t="s">
        <v>296</v>
      </c>
    </row>
    <row r="21" spans="2:26" ht="14.45" x14ac:dyDescent="0.3">
      <c r="B21" s="409">
        <v>1</v>
      </c>
      <c r="C21" s="352">
        <f t="shared" ref="C21:C28" si="15">D7</f>
        <v>29</v>
      </c>
      <c r="D21" s="416">
        <f t="shared" ref="D21:D26" si="16">P7/C21</f>
        <v>174</v>
      </c>
      <c r="E21" s="353">
        <f t="shared" ref="E21:E28" si="17">F7</f>
        <v>29</v>
      </c>
      <c r="F21" s="416">
        <f>R7/E21</f>
        <v>178</v>
      </c>
      <c r="G21" s="416">
        <f>E21-C21</f>
        <v>0</v>
      </c>
      <c r="H21" s="417">
        <f t="shared" ref="H21:H29" si="18">F21-D21</f>
        <v>4</v>
      </c>
    </row>
    <row r="22" spans="2:26" ht="14.45" x14ac:dyDescent="0.3">
      <c r="B22" s="410">
        <v>2</v>
      </c>
      <c r="C22" s="356">
        <f t="shared" si="15"/>
        <v>17</v>
      </c>
      <c r="D22" s="416">
        <f t="shared" si="16"/>
        <v>119</v>
      </c>
      <c r="E22" s="357">
        <f t="shared" si="17"/>
        <v>17</v>
      </c>
      <c r="F22" s="418">
        <f>R8/E22</f>
        <v>113</v>
      </c>
      <c r="G22" s="418">
        <f t="shared" ref="G22:G28" si="19">E22-C22</f>
        <v>0</v>
      </c>
      <c r="H22" s="419">
        <f t="shared" si="18"/>
        <v>-6</v>
      </c>
    </row>
    <row r="23" spans="2:26" ht="14.45" x14ac:dyDescent="0.3">
      <c r="B23" s="410">
        <v>3</v>
      </c>
      <c r="C23" s="356">
        <f t="shared" si="15"/>
        <v>17</v>
      </c>
      <c r="D23" s="416">
        <f t="shared" si="16"/>
        <v>119</v>
      </c>
      <c r="E23" s="357">
        <f t="shared" si="17"/>
        <v>17</v>
      </c>
      <c r="F23" s="418">
        <f t="shared" ref="F23:F28" si="20">R9/E23</f>
        <v>126</v>
      </c>
      <c r="G23" s="418">
        <f t="shared" si="19"/>
        <v>0</v>
      </c>
      <c r="H23" s="419">
        <f t="shared" si="18"/>
        <v>7</v>
      </c>
    </row>
    <row r="24" spans="2:26" ht="14.45" x14ac:dyDescent="0.3">
      <c r="B24" s="411">
        <v>4</v>
      </c>
      <c r="C24" s="356">
        <f t="shared" si="15"/>
        <v>22</v>
      </c>
      <c r="D24" s="416">
        <f t="shared" si="16"/>
        <v>334</v>
      </c>
      <c r="E24" s="357">
        <f t="shared" si="17"/>
        <v>23</v>
      </c>
      <c r="F24" s="418">
        <f t="shared" si="20"/>
        <v>310</v>
      </c>
      <c r="G24" s="418">
        <f t="shared" si="19"/>
        <v>1</v>
      </c>
      <c r="H24" s="419">
        <f t="shared" si="18"/>
        <v>-24</v>
      </c>
    </row>
    <row r="25" spans="2:26" ht="14.45" x14ac:dyDescent="0.3">
      <c r="B25" s="411">
        <v>5</v>
      </c>
      <c r="C25" s="356">
        <f t="shared" si="15"/>
        <v>21</v>
      </c>
      <c r="D25" s="416">
        <f t="shared" si="16"/>
        <v>136</v>
      </c>
      <c r="E25" s="357">
        <f t="shared" si="17"/>
        <v>23</v>
      </c>
      <c r="F25" s="418">
        <f t="shared" si="20"/>
        <v>133</v>
      </c>
      <c r="G25" s="418">
        <f t="shared" si="19"/>
        <v>2</v>
      </c>
      <c r="H25" s="419">
        <f t="shared" si="18"/>
        <v>-3</v>
      </c>
    </row>
    <row r="26" spans="2:26" ht="14.45" x14ac:dyDescent="0.3">
      <c r="B26" s="412">
        <v>6</v>
      </c>
      <c r="C26" s="356">
        <f t="shared" si="15"/>
        <v>7</v>
      </c>
      <c r="D26" s="416">
        <f t="shared" si="16"/>
        <v>116</v>
      </c>
      <c r="E26" s="357">
        <f t="shared" si="17"/>
        <v>7</v>
      </c>
      <c r="F26" s="418">
        <f t="shared" si="20"/>
        <v>124</v>
      </c>
      <c r="G26" s="418">
        <f t="shared" si="19"/>
        <v>0</v>
      </c>
      <c r="H26" s="419">
        <f t="shared" si="18"/>
        <v>8</v>
      </c>
    </row>
    <row r="27" spans="2:26" ht="14.45" x14ac:dyDescent="0.3">
      <c r="B27" s="413">
        <v>7</v>
      </c>
      <c r="C27" s="356">
        <f t="shared" si="15"/>
        <v>0</v>
      </c>
      <c r="D27" s="416">
        <v>0</v>
      </c>
      <c r="E27" s="357">
        <f t="shared" si="17"/>
        <v>0</v>
      </c>
      <c r="F27" s="418">
        <v>0</v>
      </c>
      <c r="G27" s="418">
        <f t="shared" si="19"/>
        <v>0</v>
      </c>
      <c r="H27" s="419">
        <f t="shared" si="18"/>
        <v>0</v>
      </c>
    </row>
    <row r="28" spans="2:26" thickBot="1" x14ac:dyDescent="0.35">
      <c r="B28" s="414">
        <v>8</v>
      </c>
      <c r="C28" s="360">
        <f t="shared" si="15"/>
        <v>1</v>
      </c>
      <c r="D28" s="416">
        <f>P14/C28</f>
        <v>77</v>
      </c>
      <c r="E28" s="361">
        <f t="shared" si="17"/>
        <v>1</v>
      </c>
      <c r="F28" s="420">
        <f t="shared" si="20"/>
        <v>42</v>
      </c>
      <c r="G28" s="420">
        <f t="shared" si="19"/>
        <v>0</v>
      </c>
      <c r="H28" s="421">
        <f t="shared" si="18"/>
        <v>-35</v>
      </c>
    </row>
    <row r="29" spans="2:26" thickBot="1" x14ac:dyDescent="0.35">
      <c r="B29" s="364"/>
      <c r="C29" s="365">
        <f>SUM(C21:C28)</f>
        <v>114</v>
      </c>
      <c r="D29" s="369">
        <f t="shared" ref="D29" si="21">(O15+P15)/C29</f>
        <v>3926.6315789473683</v>
      </c>
      <c r="E29" s="366">
        <f t="shared" ref="E29:G29" si="22">SUM(E21:E28)</f>
        <v>117</v>
      </c>
      <c r="F29" s="369">
        <f t="shared" ref="F29" si="23">(Q15+R15)/E29</f>
        <v>3603.1196581196582</v>
      </c>
      <c r="G29" s="369">
        <f t="shared" si="22"/>
        <v>3</v>
      </c>
      <c r="H29" s="370">
        <f t="shared" si="18"/>
        <v>-323.51192082771013</v>
      </c>
    </row>
    <row r="30" spans="2:26" ht="14.45" x14ac:dyDescent="0.3">
      <c r="C30" s="372"/>
      <c r="D30" s="372"/>
    </row>
    <row r="32" spans="2:26" ht="14.45" x14ac:dyDescent="0.3">
      <c r="B32" s="422" t="s">
        <v>299</v>
      </c>
      <c r="C32" s="422" t="s">
        <v>289</v>
      </c>
      <c r="D32" s="422" t="s">
        <v>290</v>
      </c>
      <c r="E32" s="422" t="s">
        <v>291</v>
      </c>
      <c r="F32" s="422" t="s">
        <v>292</v>
      </c>
      <c r="G32" s="422" t="s">
        <v>293</v>
      </c>
      <c r="H32" s="422" t="s">
        <v>294</v>
      </c>
    </row>
    <row r="33" spans="2:19" ht="14.45" x14ac:dyDescent="0.3">
      <c r="B33" s="422" t="s">
        <v>289</v>
      </c>
      <c r="C33" s="357">
        <v>0</v>
      </c>
      <c r="D33" s="357">
        <f>550</f>
        <v>550</v>
      </c>
      <c r="E33" s="473">
        <f>550+170</f>
        <v>720</v>
      </c>
      <c r="F33" s="474"/>
      <c r="G33" s="357">
        <f>550+430</f>
        <v>980</v>
      </c>
      <c r="H33" s="357">
        <f>550+430+520</f>
        <v>1500</v>
      </c>
    </row>
    <row r="34" spans="2:19" ht="14.45" x14ac:dyDescent="0.3">
      <c r="B34" s="422" t="s">
        <v>290</v>
      </c>
      <c r="C34" s="357">
        <v>200</v>
      </c>
      <c r="D34" s="357">
        <v>0</v>
      </c>
      <c r="E34" s="473">
        <f>200+170</f>
        <v>370</v>
      </c>
      <c r="F34" s="474"/>
      <c r="G34" s="357">
        <f>200+430</f>
        <v>630</v>
      </c>
      <c r="H34" s="357">
        <f>200+430+520</f>
        <v>1150</v>
      </c>
    </row>
    <row r="35" spans="2:19" ht="14.45" x14ac:dyDescent="0.3">
      <c r="B35" s="422" t="s">
        <v>291</v>
      </c>
      <c r="C35" s="473">
        <f>165+170</f>
        <v>335</v>
      </c>
      <c r="D35" s="474"/>
      <c r="E35" s="357">
        <v>0</v>
      </c>
      <c r="F35" s="357">
        <v>165</v>
      </c>
      <c r="G35" s="357">
        <f>165+260</f>
        <v>425</v>
      </c>
      <c r="H35" s="357">
        <f>165+260+520</f>
        <v>945</v>
      </c>
    </row>
    <row r="36" spans="2:19" ht="14.45" x14ac:dyDescent="0.3">
      <c r="B36" s="422" t="s">
        <v>292</v>
      </c>
      <c r="C36" s="473">
        <f>125+170</f>
        <v>295</v>
      </c>
      <c r="D36" s="474"/>
      <c r="E36" s="357">
        <v>125</v>
      </c>
      <c r="F36" s="357">
        <v>0</v>
      </c>
      <c r="G36" s="357">
        <f>125+260</f>
        <v>385</v>
      </c>
      <c r="H36" s="357">
        <f>125+260+520</f>
        <v>905</v>
      </c>
    </row>
    <row r="37" spans="2:19" ht="14.45" x14ac:dyDescent="0.3">
      <c r="B37" s="422" t="s">
        <v>293</v>
      </c>
      <c r="C37" s="473">
        <v>430</v>
      </c>
      <c r="D37" s="474"/>
      <c r="E37" s="473">
        <v>260</v>
      </c>
      <c r="F37" s="474"/>
      <c r="G37" s="357">
        <v>0</v>
      </c>
      <c r="H37" s="357">
        <v>520</v>
      </c>
    </row>
    <row r="38" spans="2:19" ht="14.45" x14ac:dyDescent="0.3">
      <c r="B38" s="422" t="s">
        <v>294</v>
      </c>
      <c r="C38" s="473">
        <f>520+430</f>
        <v>950</v>
      </c>
      <c r="D38" s="474"/>
      <c r="E38" s="473">
        <f>520+260</f>
        <v>780</v>
      </c>
      <c r="F38" s="474"/>
      <c r="G38" s="357">
        <f>520</f>
        <v>520</v>
      </c>
      <c r="H38" s="357">
        <v>0</v>
      </c>
    </row>
    <row r="41" spans="2:19" ht="14.45" x14ac:dyDescent="0.3">
      <c r="B41" s="422" t="s">
        <v>301</v>
      </c>
      <c r="C41" s="422" t="s">
        <v>289</v>
      </c>
      <c r="D41" s="422" t="s">
        <v>290</v>
      </c>
      <c r="E41" s="422" t="s">
        <v>291</v>
      </c>
      <c r="F41" s="422" t="s">
        <v>292</v>
      </c>
      <c r="G41" s="422" t="s">
        <v>293</v>
      </c>
      <c r="H41" s="422" t="s">
        <v>294</v>
      </c>
      <c r="I41" s="357"/>
      <c r="L41" s="460" t="s">
        <v>330</v>
      </c>
      <c r="M41" s="422" t="s">
        <v>289</v>
      </c>
      <c r="N41" s="422" t="s">
        <v>290</v>
      </c>
      <c r="O41" s="422" t="s">
        <v>291</v>
      </c>
      <c r="P41" s="422" t="s">
        <v>292</v>
      </c>
      <c r="Q41" s="422" t="s">
        <v>293</v>
      </c>
      <c r="R41" s="422" t="s">
        <v>294</v>
      </c>
      <c r="S41" s="357"/>
    </row>
    <row r="42" spans="2:19" ht="14.45" x14ac:dyDescent="0.3">
      <c r="B42" s="422" t="s">
        <v>289</v>
      </c>
      <c r="C42" s="418">
        <v>0</v>
      </c>
      <c r="D42" s="418">
        <v>1</v>
      </c>
      <c r="E42" s="478">
        <v>9</v>
      </c>
      <c r="F42" s="479"/>
      <c r="G42" s="418">
        <v>2</v>
      </c>
      <c r="H42" s="418">
        <f>C23</f>
        <v>17</v>
      </c>
      <c r="I42" s="418">
        <f>C21</f>
        <v>29</v>
      </c>
      <c r="J42" s="423">
        <f>SUM(C42:H42)</f>
        <v>29</v>
      </c>
      <c r="L42" s="422" t="s">
        <v>289</v>
      </c>
      <c r="M42" s="418">
        <f>C42*12.2</f>
        <v>0</v>
      </c>
      <c r="N42" s="418">
        <f t="shared" ref="N42:R47" si="24">D42*12.2</f>
        <v>12.2</v>
      </c>
      <c r="O42" s="478">
        <f t="shared" si="24"/>
        <v>109.8</v>
      </c>
      <c r="P42" s="479">
        <f t="shared" si="24"/>
        <v>0</v>
      </c>
      <c r="Q42" s="418">
        <f t="shared" si="24"/>
        <v>24.4</v>
      </c>
      <c r="R42" s="418">
        <f t="shared" si="24"/>
        <v>207.39999999999998</v>
      </c>
      <c r="S42" s="418">
        <f>SUM(M42:R42)</f>
        <v>353.79999999999995</v>
      </c>
    </row>
    <row r="43" spans="2:19" ht="14.45" x14ac:dyDescent="0.3">
      <c r="B43" s="422" t="s">
        <v>290</v>
      </c>
      <c r="C43" s="418">
        <v>1</v>
      </c>
      <c r="D43" s="418">
        <v>0</v>
      </c>
      <c r="E43" s="478">
        <v>0</v>
      </c>
      <c r="F43" s="479"/>
      <c r="G43" s="418">
        <f>(I43-C43)*G48/(G48+H48)</f>
        <v>0</v>
      </c>
      <c r="H43" s="418">
        <f>I43-C43-G43</f>
        <v>0</v>
      </c>
      <c r="I43" s="357">
        <f>C28</f>
        <v>1</v>
      </c>
      <c r="J43" s="423">
        <f t="shared" ref="J43:J48" si="25">SUM(C43:H43)</f>
        <v>1</v>
      </c>
      <c r="L43" s="422" t="s">
        <v>290</v>
      </c>
      <c r="M43" s="418">
        <f t="shared" ref="M43:M47" si="26">C43*12.2</f>
        <v>12.2</v>
      </c>
      <c r="N43" s="418">
        <f t="shared" si="24"/>
        <v>0</v>
      </c>
      <c r="O43" s="478">
        <f t="shared" si="24"/>
        <v>0</v>
      </c>
      <c r="P43" s="479">
        <f t="shared" si="24"/>
        <v>0</v>
      </c>
      <c r="Q43" s="418">
        <f t="shared" si="24"/>
        <v>0</v>
      </c>
      <c r="R43" s="418">
        <f t="shared" si="24"/>
        <v>0</v>
      </c>
      <c r="S43" s="418">
        <f t="shared" ref="S43:S47" si="27">SUM(M43:R43)</f>
        <v>12.2</v>
      </c>
    </row>
    <row r="44" spans="2:19" ht="14.45" x14ac:dyDescent="0.3">
      <c r="B44" s="422" t="s">
        <v>291</v>
      </c>
      <c r="C44" s="478">
        <v>0</v>
      </c>
      <c r="D44" s="479"/>
      <c r="E44" s="418">
        <v>0</v>
      </c>
      <c r="F44" s="418">
        <v>0</v>
      </c>
      <c r="G44" s="418">
        <v>0</v>
      </c>
      <c r="H44" s="418">
        <v>0</v>
      </c>
      <c r="I44" s="357">
        <f>C27</f>
        <v>0</v>
      </c>
      <c r="J44" s="423">
        <f t="shared" si="25"/>
        <v>0</v>
      </c>
      <c r="L44" s="422" t="s">
        <v>291</v>
      </c>
      <c r="M44" s="478">
        <f t="shared" si="26"/>
        <v>0</v>
      </c>
      <c r="N44" s="479">
        <f t="shared" si="24"/>
        <v>0</v>
      </c>
      <c r="O44" s="418">
        <f t="shared" si="24"/>
        <v>0</v>
      </c>
      <c r="P44" s="418">
        <f t="shared" si="24"/>
        <v>0</v>
      </c>
      <c r="Q44" s="418">
        <f t="shared" si="24"/>
        <v>0</v>
      </c>
      <c r="R44" s="418">
        <f t="shared" si="24"/>
        <v>0</v>
      </c>
      <c r="S44" s="418">
        <f t="shared" si="27"/>
        <v>0</v>
      </c>
    </row>
    <row r="45" spans="2:19" ht="14.45" x14ac:dyDescent="0.3">
      <c r="B45" s="422" t="s">
        <v>292</v>
      </c>
      <c r="C45" s="478">
        <f>I45</f>
        <v>7</v>
      </c>
      <c r="D45" s="479"/>
      <c r="E45" s="418">
        <v>0</v>
      </c>
      <c r="F45" s="418">
        <v>0</v>
      </c>
      <c r="G45" s="418">
        <v>0</v>
      </c>
      <c r="H45" s="418">
        <v>0</v>
      </c>
      <c r="I45" s="357">
        <f>C26</f>
        <v>7</v>
      </c>
      <c r="J45" s="423">
        <f t="shared" si="25"/>
        <v>7</v>
      </c>
      <c r="L45" s="422" t="s">
        <v>292</v>
      </c>
      <c r="M45" s="478">
        <f t="shared" si="26"/>
        <v>85.399999999999991</v>
      </c>
      <c r="N45" s="479">
        <f t="shared" si="24"/>
        <v>0</v>
      </c>
      <c r="O45" s="418">
        <f t="shared" si="24"/>
        <v>0</v>
      </c>
      <c r="P45" s="418">
        <f t="shared" si="24"/>
        <v>0</v>
      </c>
      <c r="Q45" s="418">
        <f t="shared" si="24"/>
        <v>0</v>
      </c>
      <c r="R45" s="418">
        <f t="shared" si="24"/>
        <v>0</v>
      </c>
      <c r="S45" s="418">
        <f t="shared" si="27"/>
        <v>85.399999999999991</v>
      </c>
    </row>
    <row r="46" spans="2:19" x14ac:dyDescent="0.25">
      <c r="B46" s="422" t="s">
        <v>293</v>
      </c>
      <c r="C46" s="478">
        <v>0</v>
      </c>
      <c r="D46" s="479"/>
      <c r="E46" s="478">
        <v>0</v>
      </c>
      <c r="F46" s="479"/>
      <c r="G46" s="418">
        <v>0</v>
      </c>
      <c r="H46" s="418">
        <v>0</v>
      </c>
      <c r="I46" s="357">
        <v>0</v>
      </c>
      <c r="J46" s="423">
        <f t="shared" si="25"/>
        <v>0</v>
      </c>
      <c r="L46" s="422" t="s">
        <v>293</v>
      </c>
      <c r="M46" s="478">
        <f t="shared" si="26"/>
        <v>0</v>
      </c>
      <c r="N46" s="479">
        <f t="shared" si="24"/>
        <v>0</v>
      </c>
      <c r="O46" s="478">
        <f t="shared" si="24"/>
        <v>0</v>
      </c>
      <c r="P46" s="479">
        <f t="shared" si="24"/>
        <v>0</v>
      </c>
      <c r="Q46" s="418">
        <f t="shared" si="24"/>
        <v>0</v>
      </c>
      <c r="R46" s="418">
        <f t="shared" si="24"/>
        <v>0</v>
      </c>
      <c r="S46" s="418">
        <f t="shared" si="27"/>
        <v>0</v>
      </c>
    </row>
    <row r="47" spans="2:19" x14ac:dyDescent="0.25">
      <c r="B47" s="422" t="s">
        <v>294</v>
      </c>
      <c r="C47" s="478">
        <f>C25-C44-C45-C46</f>
        <v>14</v>
      </c>
      <c r="D47" s="479"/>
      <c r="E47" s="478">
        <f>I47-C47-G47</f>
        <v>8</v>
      </c>
      <c r="F47" s="479"/>
      <c r="G47" s="418">
        <v>0</v>
      </c>
      <c r="H47" s="418">
        <v>0</v>
      </c>
      <c r="I47" s="357">
        <f>C24</f>
        <v>22</v>
      </c>
      <c r="J47" s="423">
        <f t="shared" si="25"/>
        <v>22</v>
      </c>
      <c r="L47" s="422" t="s">
        <v>294</v>
      </c>
      <c r="M47" s="478">
        <f t="shared" si="26"/>
        <v>170.79999999999998</v>
      </c>
      <c r="N47" s="479">
        <f t="shared" si="24"/>
        <v>0</v>
      </c>
      <c r="O47" s="478">
        <f t="shared" si="24"/>
        <v>97.6</v>
      </c>
      <c r="P47" s="479">
        <f t="shared" si="24"/>
        <v>0</v>
      </c>
      <c r="Q47" s="418">
        <f t="shared" si="24"/>
        <v>0</v>
      </c>
      <c r="R47" s="418">
        <f t="shared" si="24"/>
        <v>0</v>
      </c>
      <c r="S47" s="418">
        <f t="shared" si="27"/>
        <v>268.39999999999998</v>
      </c>
    </row>
    <row r="48" spans="2:19" x14ac:dyDescent="0.25">
      <c r="B48" s="357"/>
      <c r="C48" s="478">
        <f>C25+C43+D42</f>
        <v>23</v>
      </c>
      <c r="D48" s="479"/>
      <c r="E48" s="478">
        <f>SUM(E42:E47)</f>
        <v>17</v>
      </c>
      <c r="F48" s="479"/>
      <c r="G48" s="357">
        <v>2</v>
      </c>
      <c r="H48" s="357">
        <f>C23</f>
        <v>17</v>
      </c>
      <c r="I48" s="357">
        <f>SUM(I42:I47)</f>
        <v>59</v>
      </c>
      <c r="J48" s="423">
        <f t="shared" si="25"/>
        <v>59</v>
      </c>
      <c r="L48" s="357"/>
      <c r="M48" s="478">
        <f>SUM(M42:N47)</f>
        <v>280.59999999999997</v>
      </c>
      <c r="N48" s="479"/>
      <c r="O48" s="478">
        <f>SUM(O42:P47)</f>
        <v>207.39999999999998</v>
      </c>
      <c r="P48" s="479"/>
      <c r="Q48" s="418">
        <f>SUM(Q42:Q47)</f>
        <v>24.4</v>
      </c>
      <c r="R48" s="418">
        <f>SUM(R42:R47)</f>
        <v>207.39999999999998</v>
      </c>
      <c r="S48" s="458">
        <f>SUM(S42:S47)</f>
        <v>719.8</v>
      </c>
    </row>
    <row r="49" spans="2:19" x14ac:dyDescent="0.25">
      <c r="C49" s="480">
        <f>SUM(C42:D47)</f>
        <v>23</v>
      </c>
      <c r="D49" s="480"/>
      <c r="E49" s="480">
        <f t="shared" ref="E49:H49" si="28">SUM(E42:E47)</f>
        <v>17</v>
      </c>
      <c r="F49" s="480"/>
      <c r="G49" s="423">
        <f t="shared" si="28"/>
        <v>2</v>
      </c>
      <c r="H49" s="423">
        <f t="shared" si="28"/>
        <v>17</v>
      </c>
      <c r="I49" s="423">
        <f>SUM(C49:H49)</f>
        <v>59</v>
      </c>
    </row>
    <row r="51" spans="2:19" x14ac:dyDescent="0.25">
      <c r="B51" s="422" t="s">
        <v>304</v>
      </c>
      <c r="C51" s="422" t="s">
        <v>289</v>
      </c>
      <c r="D51" s="422" t="s">
        <v>290</v>
      </c>
      <c r="E51" s="422" t="s">
        <v>291</v>
      </c>
      <c r="F51" s="422" t="s">
        <v>292</v>
      </c>
      <c r="G51" s="422" t="s">
        <v>293</v>
      </c>
      <c r="H51" s="422" t="s">
        <v>294</v>
      </c>
      <c r="L51" s="422" t="s">
        <v>305</v>
      </c>
      <c r="M51" s="422" t="s">
        <v>289</v>
      </c>
      <c r="N51" s="422" t="s">
        <v>290</v>
      </c>
      <c r="O51" s="422" t="s">
        <v>291</v>
      </c>
      <c r="P51" s="422" t="s">
        <v>292</v>
      </c>
      <c r="Q51" s="422" t="s">
        <v>293</v>
      </c>
      <c r="R51" s="422" t="s">
        <v>294</v>
      </c>
    </row>
    <row r="52" spans="2:19" x14ac:dyDescent="0.25">
      <c r="B52" s="422" t="s">
        <v>289</v>
      </c>
      <c r="C52" s="418">
        <v>0</v>
      </c>
      <c r="D52" s="418">
        <f>D$21</f>
        <v>174</v>
      </c>
      <c r="E52" s="478">
        <f>D$21+D$22*170/430</f>
        <v>221.04651162790697</v>
      </c>
      <c r="F52" s="479"/>
      <c r="G52" s="418">
        <f>D$21+D$22</f>
        <v>293</v>
      </c>
      <c r="H52" s="418">
        <f>D$21+D$22+D$23</f>
        <v>412</v>
      </c>
      <c r="L52" s="422" t="s">
        <v>289</v>
      </c>
      <c r="M52" s="418">
        <v>0</v>
      </c>
      <c r="N52" s="418">
        <f>F$21</f>
        <v>178</v>
      </c>
      <c r="O52" s="478">
        <f>F$21+F$22*170/430</f>
        <v>222.67441860465118</v>
      </c>
      <c r="P52" s="479"/>
      <c r="Q52" s="418">
        <f>F$21+F$22</f>
        <v>291</v>
      </c>
      <c r="R52" s="418">
        <f>F$21+F$22+F$23</f>
        <v>417</v>
      </c>
    </row>
    <row r="53" spans="2:19" x14ac:dyDescent="0.25">
      <c r="B53" s="422" t="s">
        <v>290</v>
      </c>
      <c r="C53" s="418">
        <f>D$28</f>
        <v>77</v>
      </c>
      <c r="D53" s="418">
        <v>0</v>
      </c>
      <c r="E53" s="478">
        <f>D$28+D$22*170/430</f>
        <v>124.04651162790697</v>
      </c>
      <c r="F53" s="479"/>
      <c r="G53" s="418">
        <f>D$28+D$22</f>
        <v>196</v>
      </c>
      <c r="H53" s="418">
        <f>D$28+D$22+D$23</f>
        <v>315</v>
      </c>
      <c r="L53" s="422" t="s">
        <v>290</v>
      </c>
      <c r="M53" s="418">
        <f>F$28</f>
        <v>42</v>
      </c>
      <c r="N53" s="418">
        <v>0</v>
      </c>
      <c r="O53" s="478">
        <f>F$28+F$22*170/430</f>
        <v>86.674418604651166</v>
      </c>
      <c r="P53" s="479"/>
      <c r="Q53" s="418">
        <f>F$28+F$22</f>
        <v>155</v>
      </c>
      <c r="R53" s="418">
        <f>F$28+F$22+F$23</f>
        <v>281</v>
      </c>
    </row>
    <row r="54" spans="2:19" x14ac:dyDescent="0.25">
      <c r="B54" s="422" t="s">
        <v>291</v>
      </c>
      <c r="C54" s="478">
        <f>D$27+D$25*170/430</f>
        <v>53.767441860465119</v>
      </c>
      <c r="D54" s="479"/>
      <c r="E54" s="418">
        <v>0</v>
      </c>
      <c r="F54" s="418">
        <f>D$27</f>
        <v>0</v>
      </c>
      <c r="G54" s="418">
        <f>D$27+D$22*260/430</f>
        <v>71.95348837209302</v>
      </c>
      <c r="H54" s="418">
        <f>D$27+D$22*260/430+D$23</f>
        <v>190.95348837209303</v>
      </c>
      <c r="L54" s="422" t="s">
        <v>291</v>
      </c>
      <c r="M54" s="478">
        <f>F$27+F$25*170/430</f>
        <v>52.581395348837212</v>
      </c>
      <c r="N54" s="479"/>
      <c r="O54" s="418">
        <v>0</v>
      </c>
      <c r="P54" s="418">
        <f>F$27</f>
        <v>0</v>
      </c>
      <c r="Q54" s="418">
        <f>F$27+F$22*260/430</f>
        <v>68.325581395348834</v>
      </c>
      <c r="R54" s="418">
        <f>F$27+F$22*260/430+F$23</f>
        <v>194.32558139534882</v>
      </c>
    </row>
    <row r="55" spans="2:19" x14ac:dyDescent="0.25">
      <c r="B55" s="422" t="s">
        <v>292</v>
      </c>
      <c r="C55" s="478">
        <f>D$26+D$25*170/430</f>
        <v>169.76744186046511</v>
      </c>
      <c r="D55" s="479"/>
      <c r="E55" s="418">
        <f>D$26</f>
        <v>116</v>
      </c>
      <c r="F55" s="418">
        <v>0</v>
      </c>
      <c r="G55" s="418">
        <f>D$26+260/430*D$22</f>
        <v>187.95348837209303</v>
      </c>
      <c r="H55" s="418">
        <f>D$26+260/430*D$22+D$23</f>
        <v>306.95348837209303</v>
      </c>
      <c r="L55" s="422" t="s">
        <v>292</v>
      </c>
      <c r="M55" s="478">
        <f>F$26+F$25*170/430</f>
        <v>176.58139534883722</v>
      </c>
      <c r="N55" s="479"/>
      <c r="O55" s="418">
        <f>F$26</f>
        <v>124</v>
      </c>
      <c r="P55" s="418">
        <v>0</v>
      </c>
      <c r="Q55" s="418">
        <f>F$26+260/430*F$22</f>
        <v>192.32558139534882</v>
      </c>
      <c r="R55" s="418">
        <f>F$26+260/430*F$22+F$23</f>
        <v>318.32558139534882</v>
      </c>
    </row>
    <row r="56" spans="2:19" x14ac:dyDescent="0.25">
      <c r="B56" s="422" t="s">
        <v>293</v>
      </c>
      <c r="C56" s="478">
        <f>D$25</f>
        <v>136</v>
      </c>
      <c r="D56" s="479"/>
      <c r="E56" s="478">
        <f>260/430*D$25</f>
        <v>82.232558139534873</v>
      </c>
      <c r="F56" s="479"/>
      <c r="G56" s="418">
        <v>0</v>
      </c>
      <c r="H56" s="418">
        <f>D$23</f>
        <v>119</v>
      </c>
      <c r="L56" s="422" t="s">
        <v>293</v>
      </c>
      <c r="M56" s="478">
        <f>F$25</f>
        <v>133</v>
      </c>
      <c r="N56" s="479"/>
      <c r="O56" s="478">
        <f>260/430*F$25</f>
        <v>80.418604651162781</v>
      </c>
      <c r="P56" s="479"/>
      <c r="Q56" s="418">
        <v>0</v>
      </c>
      <c r="R56" s="418">
        <f>F$23</f>
        <v>126</v>
      </c>
    </row>
    <row r="57" spans="2:19" x14ac:dyDescent="0.25">
      <c r="B57" s="422" t="s">
        <v>294</v>
      </c>
      <c r="C57" s="478">
        <f>D$24+D$25</f>
        <v>470</v>
      </c>
      <c r="D57" s="479"/>
      <c r="E57" s="478">
        <f>D$24+260/430*D$25</f>
        <v>416.23255813953489</v>
      </c>
      <c r="F57" s="479"/>
      <c r="G57" s="418">
        <f>D$24</f>
        <v>334</v>
      </c>
      <c r="H57" s="418">
        <v>0</v>
      </c>
      <c r="L57" s="422" t="s">
        <v>294</v>
      </c>
      <c r="M57" s="478">
        <f>F$24+F$25</f>
        <v>443</v>
      </c>
      <c r="N57" s="479"/>
      <c r="O57" s="478">
        <f>F$24+260/430*F$25</f>
        <v>390.41860465116281</v>
      </c>
      <c r="P57" s="479"/>
      <c r="Q57" s="418">
        <f>F$24</f>
        <v>310</v>
      </c>
      <c r="R57" s="418">
        <v>0</v>
      </c>
    </row>
    <row r="59" spans="2:19" x14ac:dyDescent="0.25">
      <c r="B59" s="460" t="s">
        <v>331</v>
      </c>
      <c r="C59" s="422" t="s">
        <v>289</v>
      </c>
      <c r="D59" s="422" t="s">
        <v>290</v>
      </c>
      <c r="E59" s="422" t="s">
        <v>291</v>
      </c>
      <c r="F59" s="422" t="s">
        <v>292</v>
      </c>
      <c r="G59" s="422" t="s">
        <v>293</v>
      </c>
      <c r="H59" s="422" t="s">
        <v>294</v>
      </c>
      <c r="I59" s="357"/>
      <c r="L59" s="460" t="s">
        <v>332</v>
      </c>
      <c r="M59" s="422" t="s">
        <v>289</v>
      </c>
      <c r="N59" s="422" t="s">
        <v>290</v>
      </c>
      <c r="O59" s="422" t="s">
        <v>291</v>
      </c>
      <c r="P59" s="422" t="s">
        <v>292</v>
      </c>
      <c r="Q59" s="422" t="s">
        <v>293</v>
      </c>
      <c r="R59" s="422" t="s">
        <v>294</v>
      </c>
      <c r="S59" s="357"/>
    </row>
    <row r="60" spans="2:19" x14ac:dyDescent="0.25">
      <c r="B60" s="422" t="s">
        <v>289</v>
      </c>
      <c r="C60" s="377">
        <f>M42*C52/3600</f>
        <v>0</v>
      </c>
      <c r="D60" s="377">
        <f t="shared" ref="D60:H60" si="29">N42*D52/3600</f>
        <v>0.58966666666666656</v>
      </c>
      <c r="E60" s="481">
        <f t="shared" si="29"/>
        <v>6.7419186046511621</v>
      </c>
      <c r="F60" s="482">
        <f t="shared" si="29"/>
        <v>0</v>
      </c>
      <c r="G60" s="377">
        <f t="shared" si="29"/>
        <v>1.9858888888888888</v>
      </c>
      <c r="H60" s="377">
        <f t="shared" si="29"/>
        <v>23.735777777777773</v>
      </c>
      <c r="I60" s="377">
        <f>SUM(C60:H60)</f>
        <v>33.053251937984491</v>
      </c>
      <c r="L60" s="422" t="s">
        <v>289</v>
      </c>
      <c r="M60" s="377">
        <f>M42*M52/3600</f>
        <v>0</v>
      </c>
      <c r="N60" s="377">
        <f t="shared" ref="N60:R60" si="30">N42*N52/3600</f>
        <v>0.60322222222222222</v>
      </c>
      <c r="O60" s="481">
        <f t="shared" si="30"/>
        <v>6.7915697674418603</v>
      </c>
      <c r="P60" s="482">
        <f t="shared" si="30"/>
        <v>0</v>
      </c>
      <c r="Q60" s="377">
        <f t="shared" si="30"/>
        <v>1.9723333333333333</v>
      </c>
      <c r="R60" s="377">
        <f t="shared" si="30"/>
        <v>24.023833333333329</v>
      </c>
      <c r="S60" s="377">
        <f>SUM(M60:R60)</f>
        <v>33.390958656330746</v>
      </c>
    </row>
    <row r="61" spans="2:19" x14ac:dyDescent="0.25">
      <c r="B61" s="422" t="s">
        <v>290</v>
      </c>
      <c r="C61" s="377">
        <f t="shared" ref="C61:H61" si="31">M43*C53/3600</f>
        <v>0.26094444444444442</v>
      </c>
      <c r="D61" s="377">
        <f t="shared" si="31"/>
        <v>0</v>
      </c>
      <c r="E61" s="481">
        <f t="shared" si="31"/>
        <v>0</v>
      </c>
      <c r="F61" s="482">
        <f t="shared" si="31"/>
        <v>0</v>
      </c>
      <c r="G61" s="377">
        <f t="shared" si="31"/>
        <v>0</v>
      </c>
      <c r="H61" s="377">
        <f t="shared" si="31"/>
        <v>0</v>
      </c>
      <c r="I61" s="377">
        <f t="shared" ref="I61:I66" si="32">SUM(C61:H61)</f>
        <v>0.26094444444444442</v>
      </c>
      <c r="L61" s="422" t="s">
        <v>290</v>
      </c>
      <c r="M61" s="377">
        <f t="shared" ref="M61:R61" si="33">M43*M53/3600</f>
        <v>0.14233333333333334</v>
      </c>
      <c r="N61" s="377">
        <f t="shared" si="33"/>
        <v>0</v>
      </c>
      <c r="O61" s="481">
        <f t="shared" si="33"/>
        <v>0</v>
      </c>
      <c r="P61" s="482">
        <f t="shared" si="33"/>
        <v>0</v>
      </c>
      <c r="Q61" s="377">
        <f t="shared" si="33"/>
        <v>0</v>
      </c>
      <c r="R61" s="377">
        <f t="shared" si="33"/>
        <v>0</v>
      </c>
      <c r="S61" s="377">
        <f t="shared" ref="S61:S66" si="34">SUM(M61:R61)</f>
        <v>0.14233333333333334</v>
      </c>
    </row>
    <row r="62" spans="2:19" x14ac:dyDescent="0.25">
      <c r="B62" s="422" t="s">
        <v>291</v>
      </c>
      <c r="C62" s="481">
        <f t="shared" ref="C62:H62" si="35">M44*C54/3600</f>
        <v>0</v>
      </c>
      <c r="D62" s="482">
        <f t="shared" si="35"/>
        <v>0</v>
      </c>
      <c r="E62" s="377">
        <f t="shared" si="35"/>
        <v>0</v>
      </c>
      <c r="F62" s="377">
        <f t="shared" si="35"/>
        <v>0</v>
      </c>
      <c r="G62" s="377">
        <f t="shared" si="35"/>
        <v>0</v>
      </c>
      <c r="H62" s="377">
        <f t="shared" si="35"/>
        <v>0</v>
      </c>
      <c r="I62" s="377">
        <f t="shared" si="32"/>
        <v>0</v>
      </c>
      <c r="L62" s="422" t="s">
        <v>291</v>
      </c>
      <c r="M62" s="481">
        <f t="shared" ref="M62:R62" si="36">M44*M54/3600</f>
        <v>0</v>
      </c>
      <c r="N62" s="482">
        <f t="shared" si="36"/>
        <v>0</v>
      </c>
      <c r="O62" s="377">
        <f t="shared" si="36"/>
        <v>0</v>
      </c>
      <c r="P62" s="377">
        <f t="shared" si="36"/>
        <v>0</v>
      </c>
      <c r="Q62" s="377">
        <f t="shared" si="36"/>
        <v>0</v>
      </c>
      <c r="R62" s="377">
        <f t="shared" si="36"/>
        <v>0</v>
      </c>
      <c r="S62" s="377">
        <f t="shared" si="34"/>
        <v>0</v>
      </c>
    </row>
    <row r="63" spans="2:19" x14ac:dyDescent="0.25">
      <c r="B63" s="422" t="s">
        <v>292</v>
      </c>
      <c r="C63" s="481">
        <f t="shared" ref="C63:H63" si="37">M45*C55/3600</f>
        <v>4.0272609819121445</v>
      </c>
      <c r="D63" s="482">
        <f t="shared" si="37"/>
        <v>0</v>
      </c>
      <c r="E63" s="377">
        <f t="shared" si="37"/>
        <v>0</v>
      </c>
      <c r="F63" s="377">
        <f t="shared" si="37"/>
        <v>0</v>
      </c>
      <c r="G63" s="377">
        <f t="shared" si="37"/>
        <v>0</v>
      </c>
      <c r="H63" s="377">
        <f t="shared" si="37"/>
        <v>0</v>
      </c>
      <c r="I63" s="377">
        <f t="shared" si="32"/>
        <v>4.0272609819121445</v>
      </c>
      <c r="L63" s="422" t="s">
        <v>292</v>
      </c>
      <c r="M63" s="481">
        <f t="shared" ref="M63:R63" si="38">M45*M55/3600</f>
        <v>4.1889031007751933</v>
      </c>
      <c r="N63" s="482">
        <f t="shared" si="38"/>
        <v>0</v>
      </c>
      <c r="O63" s="377">
        <f t="shared" si="38"/>
        <v>0</v>
      </c>
      <c r="P63" s="377">
        <f t="shared" si="38"/>
        <v>0</v>
      </c>
      <c r="Q63" s="377">
        <f t="shared" si="38"/>
        <v>0</v>
      </c>
      <c r="R63" s="377">
        <f t="shared" si="38"/>
        <v>0</v>
      </c>
      <c r="S63" s="377">
        <f t="shared" si="34"/>
        <v>4.1889031007751933</v>
      </c>
    </row>
    <row r="64" spans="2:19" x14ac:dyDescent="0.25">
      <c r="B64" s="422" t="s">
        <v>293</v>
      </c>
      <c r="C64" s="481">
        <f t="shared" ref="C64:H64" si="39">M46*C56/3600</f>
        <v>0</v>
      </c>
      <c r="D64" s="482">
        <f t="shared" si="39"/>
        <v>0</v>
      </c>
      <c r="E64" s="481">
        <f t="shared" si="39"/>
        <v>0</v>
      </c>
      <c r="F64" s="482">
        <f t="shared" si="39"/>
        <v>0</v>
      </c>
      <c r="G64" s="377">
        <f t="shared" si="39"/>
        <v>0</v>
      </c>
      <c r="H64" s="377">
        <f t="shared" si="39"/>
        <v>0</v>
      </c>
      <c r="I64" s="377">
        <f t="shared" si="32"/>
        <v>0</v>
      </c>
      <c r="L64" s="422" t="s">
        <v>293</v>
      </c>
      <c r="M64" s="481">
        <f t="shared" ref="M64:R64" si="40">M46*M56/3600</f>
        <v>0</v>
      </c>
      <c r="N64" s="482">
        <f t="shared" si="40"/>
        <v>0</v>
      </c>
      <c r="O64" s="481">
        <f t="shared" si="40"/>
        <v>0</v>
      </c>
      <c r="P64" s="482">
        <f t="shared" si="40"/>
        <v>0</v>
      </c>
      <c r="Q64" s="481">
        <f t="shared" si="40"/>
        <v>0</v>
      </c>
      <c r="R64" s="482">
        <f t="shared" si="40"/>
        <v>0</v>
      </c>
      <c r="S64" s="377">
        <f t="shared" si="34"/>
        <v>0</v>
      </c>
    </row>
    <row r="65" spans="2:19" x14ac:dyDescent="0.25">
      <c r="B65" s="422" t="s">
        <v>294</v>
      </c>
      <c r="C65" s="481">
        <f t="shared" ref="C65:H65" si="41">M47*C57/3600</f>
        <v>22.298888888888886</v>
      </c>
      <c r="D65" s="482">
        <f t="shared" si="41"/>
        <v>0</v>
      </c>
      <c r="E65" s="481">
        <f t="shared" si="41"/>
        <v>11.284527131782944</v>
      </c>
      <c r="F65" s="482">
        <f t="shared" si="41"/>
        <v>0</v>
      </c>
      <c r="G65" s="377">
        <f t="shared" si="41"/>
        <v>0</v>
      </c>
      <c r="H65" s="377">
        <f t="shared" si="41"/>
        <v>0</v>
      </c>
      <c r="I65" s="377">
        <f t="shared" si="32"/>
        <v>33.583416020671834</v>
      </c>
      <c r="L65" s="422" t="s">
        <v>294</v>
      </c>
      <c r="M65" s="481">
        <f t="shared" ref="M65:R65" si="42">M47*M57/3600</f>
        <v>21.017888888888887</v>
      </c>
      <c r="N65" s="482">
        <f t="shared" si="42"/>
        <v>0</v>
      </c>
      <c r="O65" s="481">
        <f t="shared" si="42"/>
        <v>10.584682170542635</v>
      </c>
      <c r="P65" s="482">
        <f t="shared" si="42"/>
        <v>0</v>
      </c>
      <c r="Q65" s="481">
        <f t="shared" si="42"/>
        <v>0</v>
      </c>
      <c r="R65" s="482">
        <f t="shared" si="42"/>
        <v>0</v>
      </c>
      <c r="S65" s="377">
        <f t="shared" si="34"/>
        <v>31.602571059431522</v>
      </c>
    </row>
    <row r="66" spans="2:19" x14ac:dyDescent="0.25">
      <c r="B66" s="357"/>
      <c r="C66" s="481">
        <f>SUM(C60:D65)</f>
        <v>27.176760981912143</v>
      </c>
      <c r="D66" s="482"/>
      <c r="E66" s="377">
        <f t="shared" ref="E66:H66" si="43">SUM(E60:E65)</f>
        <v>18.026445736434106</v>
      </c>
      <c r="F66" s="377">
        <f t="shared" si="43"/>
        <v>0</v>
      </c>
      <c r="G66" s="377">
        <f t="shared" si="43"/>
        <v>1.9858888888888888</v>
      </c>
      <c r="H66" s="377">
        <f t="shared" si="43"/>
        <v>23.735777777777773</v>
      </c>
      <c r="I66" s="457">
        <f t="shared" si="32"/>
        <v>70.924873385012916</v>
      </c>
      <c r="L66" s="357"/>
      <c r="M66" s="481">
        <f>SUM(M60:N65)</f>
        <v>25.952347545219638</v>
      </c>
      <c r="N66" s="482"/>
      <c r="O66" s="377">
        <f t="shared" ref="O66:R66" si="44">SUM(O60:O65)</f>
        <v>17.376251937984495</v>
      </c>
      <c r="P66" s="377">
        <f t="shared" si="44"/>
        <v>0</v>
      </c>
      <c r="Q66" s="377">
        <f t="shared" si="44"/>
        <v>1.9723333333333333</v>
      </c>
      <c r="R66" s="377">
        <f t="shared" si="44"/>
        <v>24.023833333333329</v>
      </c>
      <c r="S66" s="457">
        <f t="shared" si="34"/>
        <v>69.324766149870783</v>
      </c>
    </row>
  </sheetData>
  <mergeCells count="91">
    <mergeCell ref="I4:N4"/>
    <mergeCell ref="O4:T4"/>
    <mergeCell ref="U4:Z4"/>
    <mergeCell ref="C5:D5"/>
    <mergeCell ref="E5:F5"/>
    <mergeCell ref="G5:H5"/>
    <mergeCell ref="I5:J5"/>
    <mergeCell ref="K5:L5"/>
    <mergeCell ref="Y5:Z5"/>
    <mergeCell ref="M5:N5"/>
    <mergeCell ref="O5:P5"/>
    <mergeCell ref="Q5:R5"/>
    <mergeCell ref="S5:T5"/>
    <mergeCell ref="U5:V5"/>
    <mergeCell ref="W5:X5"/>
    <mergeCell ref="U17:V17"/>
    <mergeCell ref="W17:X17"/>
    <mergeCell ref="Y17:Z17"/>
    <mergeCell ref="B18:B20"/>
    <mergeCell ref="C18:H18"/>
    <mergeCell ref="C19:D19"/>
    <mergeCell ref="E19:F19"/>
    <mergeCell ref="G19:H19"/>
    <mergeCell ref="B4:B6"/>
    <mergeCell ref="C38:D38"/>
    <mergeCell ref="E38:F38"/>
    <mergeCell ref="E33:F33"/>
    <mergeCell ref="E34:F34"/>
    <mergeCell ref="C35:D35"/>
    <mergeCell ref="C36:D36"/>
    <mergeCell ref="C37:D37"/>
    <mergeCell ref="E37:F37"/>
    <mergeCell ref="C4:H4"/>
    <mergeCell ref="O52:P52"/>
    <mergeCell ref="E53:F53"/>
    <mergeCell ref="O53:P53"/>
    <mergeCell ref="C46:D46"/>
    <mergeCell ref="E46:F46"/>
    <mergeCell ref="C47:D47"/>
    <mergeCell ref="E47:F47"/>
    <mergeCell ref="C48:D48"/>
    <mergeCell ref="E48:F48"/>
    <mergeCell ref="M47:N47"/>
    <mergeCell ref="O47:P47"/>
    <mergeCell ref="M48:N48"/>
    <mergeCell ref="O48:P48"/>
    <mergeCell ref="O60:P60"/>
    <mergeCell ref="C54:D54"/>
    <mergeCell ref="M54:N54"/>
    <mergeCell ref="C55:D55"/>
    <mergeCell ref="M55:N55"/>
    <mergeCell ref="C56:D56"/>
    <mergeCell ref="E56:F56"/>
    <mergeCell ref="M56:N56"/>
    <mergeCell ref="O56:P56"/>
    <mergeCell ref="C57:D57"/>
    <mergeCell ref="E57:F57"/>
    <mergeCell ref="M57:N57"/>
    <mergeCell ref="O57:P57"/>
    <mergeCell ref="O61:P61"/>
    <mergeCell ref="C62:D62"/>
    <mergeCell ref="M62:N62"/>
    <mergeCell ref="C63:D63"/>
    <mergeCell ref="M63:N63"/>
    <mergeCell ref="Q64:R64"/>
    <mergeCell ref="C65:D65"/>
    <mergeCell ref="E65:F65"/>
    <mergeCell ref="M65:N65"/>
    <mergeCell ref="O65:P65"/>
    <mergeCell ref="Q65:R65"/>
    <mergeCell ref="M66:N66"/>
    <mergeCell ref="C64:D64"/>
    <mergeCell ref="E64:F64"/>
    <mergeCell ref="M64:N64"/>
    <mergeCell ref="O64:P64"/>
    <mergeCell ref="E42:F42"/>
    <mergeCell ref="E43:F43"/>
    <mergeCell ref="C44:D44"/>
    <mergeCell ref="C45:D45"/>
    <mergeCell ref="C66:D66"/>
    <mergeCell ref="E61:F61"/>
    <mergeCell ref="E60:F60"/>
    <mergeCell ref="C49:D49"/>
    <mergeCell ref="E49:F49"/>
    <mergeCell ref="E52:F52"/>
    <mergeCell ref="O42:P42"/>
    <mergeCell ref="O43:P43"/>
    <mergeCell ref="M44:N44"/>
    <mergeCell ref="M45:N45"/>
    <mergeCell ref="M46:N46"/>
    <mergeCell ref="O46:P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K7" sqref="K7"/>
    </sheetView>
  </sheetViews>
  <sheetFormatPr defaultRowHeight="15" x14ac:dyDescent="0.25"/>
  <cols>
    <col min="1" max="1" width="11.5703125" customWidth="1"/>
    <col min="12" max="12" width="2.5703125" customWidth="1"/>
  </cols>
  <sheetData>
    <row r="1" spans="2:14" ht="14.45" x14ac:dyDescent="0.3">
      <c r="B1" t="s">
        <v>324</v>
      </c>
    </row>
    <row r="4" spans="2:14" ht="14.45" x14ac:dyDescent="0.3">
      <c r="B4" t="s">
        <v>311</v>
      </c>
      <c r="C4" s="446" t="s">
        <v>312</v>
      </c>
      <c r="D4" s="446" t="s">
        <v>313</v>
      </c>
      <c r="E4" s="446" t="s">
        <v>314</v>
      </c>
      <c r="F4" s="446" t="s">
        <v>315</v>
      </c>
      <c r="G4" s="446" t="s">
        <v>316</v>
      </c>
      <c r="H4" s="446" t="s">
        <v>317</v>
      </c>
      <c r="I4" s="446" t="s">
        <v>318</v>
      </c>
      <c r="J4" s="446" t="s">
        <v>319</v>
      </c>
      <c r="K4" s="446" t="s">
        <v>319</v>
      </c>
    </row>
    <row r="5" spans="2:14" ht="14.45" x14ac:dyDescent="0.3">
      <c r="B5" t="s">
        <v>320</v>
      </c>
      <c r="C5" s="447">
        <v>0.6675578703703704</v>
      </c>
      <c r="D5" s="447">
        <v>0.70922453703703703</v>
      </c>
      <c r="E5" s="447">
        <v>0.75089120370370377</v>
      </c>
      <c r="F5" s="447">
        <v>0.7925578703703704</v>
      </c>
      <c r="G5" s="447">
        <v>0.83422453703703703</v>
      </c>
      <c r="H5" s="447">
        <v>0.87589120370370377</v>
      </c>
      <c r="I5" s="447">
        <v>0.9175578703703704</v>
      </c>
      <c r="J5" s="446"/>
      <c r="K5" s="446"/>
    </row>
    <row r="6" spans="2:14" ht="14.45" x14ac:dyDescent="0.3">
      <c r="B6" t="s">
        <v>321</v>
      </c>
      <c r="C6" s="446"/>
      <c r="D6" s="446"/>
      <c r="E6" s="446"/>
      <c r="F6" s="446"/>
      <c r="G6" s="446"/>
      <c r="H6" s="446"/>
      <c r="I6" s="446"/>
      <c r="J6" s="446" t="s">
        <v>322</v>
      </c>
      <c r="K6" s="446" t="s">
        <v>323</v>
      </c>
    </row>
    <row r="7" spans="2:14" ht="14.45" x14ac:dyDescent="0.3">
      <c r="B7">
        <v>0</v>
      </c>
      <c r="C7">
        <v>180</v>
      </c>
      <c r="D7">
        <v>172</v>
      </c>
      <c r="E7">
        <v>140</v>
      </c>
      <c r="F7">
        <v>176</v>
      </c>
      <c r="G7">
        <v>188</v>
      </c>
      <c r="H7">
        <v>392</v>
      </c>
      <c r="I7">
        <v>444</v>
      </c>
      <c r="J7" s="423">
        <f>AVERAGE(C7:G7)</f>
        <v>171.2</v>
      </c>
      <c r="K7" s="423">
        <f>AVERAGE(C7:I7)</f>
        <v>241.71428571428572</v>
      </c>
      <c r="M7">
        <v>0</v>
      </c>
      <c r="N7" s="423">
        <f>J7</f>
        <v>171.2</v>
      </c>
    </row>
    <row r="8" spans="2:14" ht="14.45" x14ac:dyDescent="0.3">
      <c r="B8">
        <v>1</v>
      </c>
      <c r="C8">
        <v>76</v>
      </c>
      <c r="D8">
        <v>96</v>
      </c>
      <c r="E8">
        <v>112</v>
      </c>
      <c r="F8">
        <v>84</v>
      </c>
      <c r="G8">
        <v>116</v>
      </c>
      <c r="H8">
        <v>296</v>
      </c>
      <c r="I8">
        <v>352</v>
      </c>
      <c r="J8" s="423">
        <f t="shared" ref="J8:J30" si="0">AVERAGE(C8:G8)</f>
        <v>96.8</v>
      </c>
      <c r="K8" s="423">
        <f t="shared" ref="K8:K30" si="1">AVERAGE(C8:I8)</f>
        <v>161.71428571428572</v>
      </c>
      <c r="M8">
        <v>1</v>
      </c>
      <c r="N8" s="423">
        <f t="shared" ref="N8:N30" si="2">J8</f>
        <v>96.8</v>
      </c>
    </row>
    <row r="9" spans="2:14" ht="14.45" x14ac:dyDescent="0.3">
      <c r="B9">
        <v>2</v>
      </c>
      <c r="C9">
        <v>64</v>
      </c>
      <c r="D9">
        <v>64</v>
      </c>
      <c r="E9">
        <v>68</v>
      </c>
      <c r="F9">
        <v>76</v>
      </c>
      <c r="G9">
        <v>80</v>
      </c>
      <c r="H9">
        <v>288</v>
      </c>
      <c r="I9">
        <v>288</v>
      </c>
      <c r="J9" s="423">
        <f t="shared" si="0"/>
        <v>70.400000000000006</v>
      </c>
      <c r="K9" s="423">
        <f t="shared" si="1"/>
        <v>132.57142857142858</v>
      </c>
      <c r="M9">
        <v>2</v>
      </c>
      <c r="N9" s="423">
        <f t="shared" si="2"/>
        <v>70.400000000000006</v>
      </c>
    </row>
    <row r="10" spans="2:14" ht="14.45" x14ac:dyDescent="0.3">
      <c r="B10">
        <v>3</v>
      </c>
      <c r="C10">
        <v>68</v>
      </c>
      <c r="D10">
        <v>68</v>
      </c>
      <c r="E10">
        <v>164</v>
      </c>
      <c r="F10">
        <v>48</v>
      </c>
      <c r="G10">
        <v>60</v>
      </c>
      <c r="H10">
        <v>212</v>
      </c>
      <c r="I10">
        <v>256</v>
      </c>
      <c r="J10" s="423">
        <f t="shared" si="0"/>
        <v>81.599999999999994</v>
      </c>
      <c r="K10" s="423">
        <f t="shared" si="1"/>
        <v>125.14285714285714</v>
      </c>
      <c r="M10">
        <v>3</v>
      </c>
      <c r="N10" s="423">
        <f t="shared" si="2"/>
        <v>81.599999999999994</v>
      </c>
    </row>
    <row r="11" spans="2:14" ht="14.45" x14ac:dyDescent="0.3">
      <c r="B11">
        <v>4</v>
      </c>
      <c r="C11">
        <v>104</v>
      </c>
      <c r="D11">
        <v>80</v>
      </c>
      <c r="E11">
        <v>136</v>
      </c>
      <c r="F11">
        <v>88</v>
      </c>
      <c r="G11">
        <v>104</v>
      </c>
      <c r="H11">
        <v>240</v>
      </c>
      <c r="I11">
        <v>184</v>
      </c>
      <c r="J11" s="423">
        <f t="shared" si="0"/>
        <v>102.4</v>
      </c>
      <c r="K11" s="423">
        <f t="shared" si="1"/>
        <v>133.71428571428572</v>
      </c>
      <c r="M11">
        <v>4</v>
      </c>
      <c r="N11" s="423">
        <f t="shared" si="2"/>
        <v>102.4</v>
      </c>
    </row>
    <row r="12" spans="2:14" ht="14.45" x14ac:dyDescent="0.3">
      <c r="B12">
        <v>5</v>
      </c>
      <c r="C12">
        <v>244</v>
      </c>
      <c r="D12">
        <v>248</v>
      </c>
      <c r="E12">
        <v>244</v>
      </c>
      <c r="F12">
        <v>244</v>
      </c>
      <c r="G12">
        <v>256</v>
      </c>
      <c r="H12">
        <v>292</v>
      </c>
      <c r="I12">
        <v>132</v>
      </c>
      <c r="J12" s="423">
        <f t="shared" si="0"/>
        <v>247.2</v>
      </c>
      <c r="K12" s="423">
        <f t="shared" si="1"/>
        <v>237.14285714285714</v>
      </c>
      <c r="M12">
        <v>5</v>
      </c>
      <c r="N12" s="423">
        <f t="shared" si="2"/>
        <v>247.2</v>
      </c>
    </row>
    <row r="13" spans="2:14" ht="14.45" x14ac:dyDescent="0.3">
      <c r="B13">
        <v>6</v>
      </c>
      <c r="C13">
        <v>760</v>
      </c>
      <c r="D13">
        <v>720</v>
      </c>
      <c r="E13">
        <v>740</v>
      </c>
      <c r="F13">
        <v>740</v>
      </c>
      <c r="G13">
        <v>716</v>
      </c>
      <c r="H13">
        <v>316</v>
      </c>
      <c r="I13">
        <v>232</v>
      </c>
      <c r="J13" s="423">
        <f t="shared" si="0"/>
        <v>735.2</v>
      </c>
      <c r="K13" s="423">
        <f t="shared" si="1"/>
        <v>603.42857142857144</v>
      </c>
      <c r="M13">
        <v>6</v>
      </c>
      <c r="N13" s="423">
        <f t="shared" si="2"/>
        <v>735.2</v>
      </c>
    </row>
    <row r="14" spans="2:14" ht="14.45" x14ac:dyDescent="0.3">
      <c r="B14">
        <v>7</v>
      </c>
      <c r="C14">
        <v>1392</v>
      </c>
      <c r="D14">
        <v>1436</v>
      </c>
      <c r="E14">
        <v>1436</v>
      </c>
      <c r="F14">
        <v>1316</v>
      </c>
      <c r="G14">
        <v>1372</v>
      </c>
      <c r="H14">
        <v>492</v>
      </c>
      <c r="I14">
        <v>248</v>
      </c>
      <c r="J14" s="423">
        <f t="shared" si="0"/>
        <v>1390.4</v>
      </c>
      <c r="K14" s="423">
        <f t="shared" si="1"/>
        <v>1098.8571428571429</v>
      </c>
      <c r="M14">
        <v>7</v>
      </c>
      <c r="N14" s="423">
        <f t="shared" si="2"/>
        <v>1390.4</v>
      </c>
    </row>
    <row r="15" spans="2:14" ht="14.45" x14ac:dyDescent="0.3">
      <c r="B15">
        <v>8</v>
      </c>
      <c r="C15">
        <v>1328</v>
      </c>
      <c r="D15">
        <v>1300</v>
      </c>
      <c r="E15">
        <v>1280</v>
      </c>
      <c r="F15">
        <v>1336</v>
      </c>
      <c r="G15">
        <v>1436</v>
      </c>
      <c r="H15">
        <v>676</v>
      </c>
      <c r="I15">
        <v>292</v>
      </c>
      <c r="J15" s="423">
        <f t="shared" si="0"/>
        <v>1336</v>
      </c>
      <c r="K15" s="423">
        <f t="shared" si="1"/>
        <v>1092.5714285714287</v>
      </c>
      <c r="M15">
        <v>8</v>
      </c>
      <c r="N15" s="423">
        <f t="shared" si="2"/>
        <v>1336</v>
      </c>
    </row>
    <row r="16" spans="2:14" ht="14.45" x14ac:dyDescent="0.3">
      <c r="B16">
        <v>9</v>
      </c>
      <c r="C16">
        <v>1284</v>
      </c>
      <c r="D16">
        <v>1380</v>
      </c>
      <c r="E16">
        <v>1308</v>
      </c>
      <c r="F16">
        <v>1260</v>
      </c>
      <c r="G16">
        <v>1300</v>
      </c>
      <c r="H16">
        <v>924</v>
      </c>
      <c r="I16">
        <v>576</v>
      </c>
      <c r="J16" s="423">
        <f t="shared" si="0"/>
        <v>1306.4000000000001</v>
      </c>
      <c r="K16" s="423">
        <f t="shared" si="1"/>
        <v>1147.4285714285713</v>
      </c>
      <c r="M16">
        <v>9</v>
      </c>
      <c r="N16" s="423">
        <f t="shared" si="2"/>
        <v>1306.4000000000001</v>
      </c>
    </row>
    <row r="17" spans="1:14" ht="14.45" x14ac:dyDescent="0.3">
      <c r="B17">
        <v>10</v>
      </c>
      <c r="C17">
        <v>1240</v>
      </c>
      <c r="D17">
        <v>1296</v>
      </c>
      <c r="E17">
        <v>1268</v>
      </c>
      <c r="F17">
        <v>1288</v>
      </c>
      <c r="G17">
        <v>1288</v>
      </c>
      <c r="H17">
        <v>996</v>
      </c>
      <c r="I17">
        <v>656</v>
      </c>
      <c r="J17" s="423">
        <f t="shared" si="0"/>
        <v>1276</v>
      </c>
      <c r="K17" s="423">
        <f t="shared" si="1"/>
        <v>1147.4285714285713</v>
      </c>
      <c r="M17">
        <v>10</v>
      </c>
      <c r="N17" s="423">
        <f t="shared" si="2"/>
        <v>1276</v>
      </c>
    </row>
    <row r="18" spans="1:14" ht="14.45" x14ac:dyDescent="0.3">
      <c r="B18">
        <v>11</v>
      </c>
      <c r="C18">
        <v>1320</v>
      </c>
      <c r="D18">
        <v>1128</v>
      </c>
      <c r="E18">
        <v>1340</v>
      </c>
      <c r="F18">
        <v>1320</v>
      </c>
      <c r="G18">
        <v>1368</v>
      </c>
      <c r="H18">
        <v>1188</v>
      </c>
      <c r="I18">
        <v>836</v>
      </c>
      <c r="J18" s="423">
        <f t="shared" si="0"/>
        <v>1295.2</v>
      </c>
      <c r="K18" s="423">
        <f t="shared" si="1"/>
        <v>1214.2857142857142</v>
      </c>
      <c r="M18">
        <v>11</v>
      </c>
      <c r="N18" s="423">
        <f t="shared" si="2"/>
        <v>1295.2</v>
      </c>
    </row>
    <row r="19" spans="1:14" ht="14.45" x14ac:dyDescent="0.3">
      <c r="B19">
        <v>12</v>
      </c>
      <c r="C19">
        <v>1352</v>
      </c>
      <c r="D19">
        <v>1136</v>
      </c>
      <c r="E19">
        <v>1412</v>
      </c>
      <c r="F19">
        <v>1400</v>
      </c>
      <c r="G19">
        <v>1100</v>
      </c>
      <c r="H19">
        <v>1420</v>
      </c>
      <c r="I19">
        <v>1084</v>
      </c>
      <c r="J19" s="423">
        <f t="shared" si="0"/>
        <v>1280</v>
      </c>
      <c r="K19" s="423">
        <f t="shared" si="1"/>
        <v>1272</v>
      </c>
      <c r="M19">
        <v>12</v>
      </c>
      <c r="N19" s="423">
        <f t="shared" si="2"/>
        <v>1280</v>
      </c>
    </row>
    <row r="20" spans="1:14" ht="14.45" x14ac:dyDescent="0.3">
      <c r="B20">
        <v>13</v>
      </c>
      <c r="C20">
        <v>1344</v>
      </c>
      <c r="D20">
        <v>1360</v>
      </c>
      <c r="E20">
        <v>1424</v>
      </c>
      <c r="F20">
        <v>1412</v>
      </c>
      <c r="G20">
        <v>976</v>
      </c>
      <c r="H20">
        <v>1492</v>
      </c>
      <c r="I20">
        <v>1124</v>
      </c>
      <c r="J20" s="423">
        <f t="shared" si="0"/>
        <v>1303.2</v>
      </c>
      <c r="K20" s="423">
        <f t="shared" si="1"/>
        <v>1304.5714285714287</v>
      </c>
      <c r="M20">
        <v>13</v>
      </c>
      <c r="N20" s="423">
        <f t="shared" si="2"/>
        <v>1303.2</v>
      </c>
    </row>
    <row r="21" spans="1:14" ht="14.45" x14ac:dyDescent="0.3">
      <c r="B21">
        <v>14</v>
      </c>
      <c r="C21">
        <v>1368</v>
      </c>
      <c r="D21">
        <v>1496</v>
      </c>
      <c r="E21">
        <v>1456</v>
      </c>
      <c r="F21">
        <v>1376</v>
      </c>
      <c r="G21">
        <v>964</v>
      </c>
      <c r="H21">
        <v>1468</v>
      </c>
      <c r="I21">
        <v>1260</v>
      </c>
      <c r="J21" s="423">
        <f t="shared" si="0"/>
        <v>1332</v>
      </c>
      <c r="K21" s="423">
        <f t="shared" si="1"/>
        <v>1341.1428571428571</v>
      </c>
      <c r="M21">
        <v>14</v>
      </c>
      <c r="N21" s="423">
        <f t="shared" si="2"/>
        <v>1332</v>
      </c>
    </row>
    <row r="22" spans="1:14" ht="14.45" x14ac:dyDescent="0.3">
      <c r="B22">
        <v>15</v>
      </c>
      <c r="C22">
        <v>1300</v>
      </c>
      <c r="D22">
        <v>1364</v>
      </c>
      <c r="E22">
        <v>1480</v>
      </c>
      <c r="F22">
        <v>1384</v>
      </c>
      <c r="G22">
        <v>908</v>
      </c>
      <c r="H22">
        <v>1132</v>
      </c>
      <c r="I22">
        <v>908</v>
      </c>
      <c r="J22" s="423">
        <f t="shared" si="0"/>
        <v>1287.2</v>
      </c>
      <c r="K22" s="423">
        <f t="shared" si="1"/>
        <v>1210.8571428571429</v>
      </c>
      <c r="M22">
        <v>15</v>
      </c>
      <c r="N22" s="423">
        <f t="shared" si="2"/>
        <v>1287.2</v>
      </c>
    </row>
    <row r="23" spans="1:14" ht="14.45" x14ac:dyDescent="0.3">
      <c r="B23">
        <v>16</v>
      </c>
      <c r="C23">
        <v>1492</v>
      </c>
      <c r="D23">
        <v>1436</v>
      </c>
      <c r="E23">
        <v>1436</v>
      </c>
      <c r="F23">
        <v>1492</v>
      </c>
      <c r="G23">
        <v>952</v>
      </c>
      <c r="H23">
        <v>1164</v>
      </c>
      <c r="I23">
        <v>924</v>
      </c>
      <c r="J23" s="423">
        <f t="shared" si="0"/>
        <v>1361.6</v>
      </c>
      <c r="K23" s="423">
        <f t="shared" si="1"/>
        <v>1270.8571428571429</v>
      </c>
      <c r="M23">
        <v>16</v>
      </c>
      <c r="N23" s="423">
        <f t="shared" si="2"/>
        <v>1361.6</v>
      </c>
    </row>
    <row r="24" spans="1:14" ht="14.45" x14ac:dyDescent="0.3">
      <c r="B24">
        <v>17</v>
      </c>
      <c r="C24">
        <v>1484</v>
      </c>
      <c r="D24">
        <v>1528</v>
      </c>
      <c r="E24">
        <v>1504</v>
      </c>
      <c r="F24">
        <v>1508</v>
      </c>
      <c r="G24">
        <v>896</v>
      </c>
      <c r="H24">
        <v>1112</v>
      </c>
      <c r="I24">
        <v>888</v>
      </c>
      <c r="J24" s="423">
        <f t="shared" si="0"/>
        <v>1384</v>
      </c>
      <c r="K24" s="423">
        <f t="shared" si="1"/>
        <v>1274.2857142857142</v>
      </c>
      <c r="M24">
        <v>17</v>
      </c>
      <c r="N24" s="423">
        <f t="shared" si="2"/>
        <v>1384</v>
      </c>
    </row>
    <row r="25" spans="1:14" ht="14.45" x14ac:dyDescent="0.3">
      <c r="B25">
        <v>18</v>
      </c>
      <c r="C25">
        <v>1316</v>
      </c>
      <c r="D25">
        <v>1440</v>
      </c>
      <c r="E25">
        <v>1376</v>
      </c>
      <c r="F25">
        <v>1428</v>
      </c>
      <c r="G25">
        <v>1088</v>
      </c>
      <c r="H25">
        <v>1140</v>
      </c>
      <c r="I25">
        <v>820</v>
      </c>
      <c r="J25" s="423">
        <f t="shared" si="0"/>
        <v>1329.6</v>
      </c>
      <c r="K25" s="423">
        <f t="shared" si="1"/>
        <v>1229.7142857142858</v>
      </c>
      <c r="M25">
        <v>18</v>
      </c>
      <c r="N25" s="423">
        <f t="shared" si="2"/>
        <v>1329.6</v>
      </c>
    </row>
    <row r="26" spans="1:14" x14ac:dyDescent="0.25">
      <c r="B26">
        <v>19</v>
      </c>
      <c r="C26">
        <v>1076</v>
      </c>
      <c r="D26">
        <v>1096</v>
      </c>
      <c r="E26">
        <v>1196</v>
      </c>
      <c r="F26">
        <v>1172</v>
      </c>
      <c r="G26">
        <v>1036</v>
      </c>
      <c r="H26">
        <v>972</v>
      </c>
      <c r="I26">
        <v>724</v>
      </c>
      <c r="J26" s="423">
        <f t="shared" si="0"/>
        <v>1115.2</v>
      </c>
      <c r="K26" s="423">
        <f t="shared" si="1"/>
        <v>1038.8571428571429</v>
      </c>
      <c r="M26">
        <v>19</v>
      </c>
      <c r="N26" s="423">
        <f t="shared" si="2"/>
        <v>1115.2</v>
      </c>
    </row>
    <row r="27" spans="1:14" x14ac:dyDescent="0.25">
      <c r="B27">
        <v>20</v>
      </c>
      <c r="C27">
        <v>760</v>
      </c>
      <c r="D27">
        <v>828</v>
      </c>
      <c r="E27">
        <v>896</v>
      </c>
      <c r="F27">
        <v>928</v>
      </c>
      <c r="G27">
        <v>684</v>
      </c>
      <c r="H27">
        <v>792</v>
      </c>
      <c r="I27">
        <v>588</v>
      </c>
      <c r="J27" s="423">
        <f t="shared" si="0"/>
        <v>819.2</v>
      </c>
      <c r="K27" s="423">
        <f t="shared" si="1"/>
        <v>782.28571428571433</v>
      </c>
      <c r="M27">
        <v>20</v>
      </c>
      <c r="N27" s="423">
        <f t="shared" si="2"/>
        <v>819.2</v>
      </c>
    </row>
    <row r="28" spans="1:14" x14ac:dyDescent="0.25">
      <c r="B28">
        <v>21</v>
      </c>
      <c r="C28">
        <v>588</v>
      </c>
      <c r="D28">
        <v>588</v>
      </c>
      <c r="E28">
        <v>680</v>
      </c>
      <c r="F28">
        <v>760</v>
      </c>
      <c r="G28">
        <v>748</v>
      </c>
      <c r="H28">
        <v>608</v>
      </c>
      <c r="I28">
        <v>424</v>
      </c>
      <c r="J28" s="423">
        <f t="shared" si="0"/>
        <v>672.8</v>
      </c>
      <c r="K28" s="423">
        <f t="shared" si="1"/>
        <v>628</v>
      </c>
      <c r="M28">
        <v>21</v>
      </c>
      <c r="N28" s="423">
        <f t="shared" si="2"/>
        <v>672.8</v>
      </c>
    </row>
    <row r="29" spans="1:14" x14ac:dyDescent="0.25">
      <c r="B29">
        <v>22</v>
      </c>
      <c r="C29">
        <v>440</v>
      </c>
      <c r="D29">
        <v>536</v>
      </c>
      <c r="E29">
        <v>548</v>
      </c>
      <c r="F29">
        <v>508</v>
      </c>
      <c r="G29">
        <v>600</v>
      </c>
      <c r="H29">
        <v>644</v>
      </c>
      <c r="I29">
        <v>304</v>
      </c>
      <c r="J29" s="423">
        <f t="shared" si="0"/>
        <v>526.4</v>
      </c>
      <c r="K29" s="423">
        <f t="shared" si="1"/>
        <v>511.42857142857144</v>
      </c>
      <c r="M29">
        <v>22</v>
      </c>
      <c r="N29" s="423">
        <f t="shared" si="2"/>
        <v>526.4</v>
      </c>
    </row>
    <row r="30" spans="1:14" x14ac:dyDescent="0.25">
      <c r="B30">
        <v>23</v>
      </c>
      <c r="C30">
        <v>288</v>
      </c>
      <c r="D30">
        <v>300</v>
      </c>
      <c r="E30">
        <v>308</v>
      </c>
      <c r="F30">
        <v>352</v>
      </c>
      <c r="G30">
        <v>496</v>
      </c>
      <c r="H30">
        <v>556</v>
      </c>
      <c r="I30">
        <v>280</v>
      </c>
      <c r="J30" s="423">
        <f t="shared" si="0"/>
        <v>348.8</v>
      </c>
      <c r="K30" s="423">
        <f t="shared" si="1"/>
        <v>368.57142857142856</v>
      </c>
      <c r="M30">
        <v>23</v>
      </c>
      <c r="N30" s="423">
        <f t="shared" si="2"/>
        <v>348.8</v>
      </c>
    </row>
    <row r="32" spans="1:14" x14ac:dyDescent="0.25">
      <c r="A32" t="s">
        <v>325</v>
      </c>
      <c r="C32" s="415">
        <f t="shared" ref="C32:G32" si="3">SUM(C14:C16)/C15</f>
        <v>3.0150602409638556</v>
      </c>
      <c r="D32" s="415">
        <f t="shared" si="3"/>
        <v>3.1661538461538461</v>
      </c>
      <c r="E32" s="415">
        <f t="shared" si="3"/>
        <v>3.1437499999999998</v>
      </c>
      <c r="F32" s="415">
        <f t="shared" si="3"/>
        <v>2.9281437125748502</v>
      </c>
      <c r="G32" s="415">
        <f t="shared" si="3"/>
        <v>2.8607242339832868</v>
      </c>
      <c r="J32" s="448">
        <f>SUM(J14:J16)/J15</f>
        <v>3.0185628742514972</v>
      </c>
    </row>
    <row r="33" spans="1:10" x14ac:dyDescent="0.25">
      <c r="A33" t="s">
        <v>326</v>
      </c>
      <c r="C33" s="415">
        <f t="shared" ref="C33:G33" si="4">SUM(C23:C25)/C24</f>
        <v>2.8921832884097034</v>
      </c>
      <c r="D33" s="415">
        <f t="shared" si="4"/>
        <v>2.8821989528795813</v>
      </c>
      <c r="E33" s="415">
        <f t="shared" si="4"/>
        <v>2.8696808510638299</v>
      </c>
      <c r="F33" s="415">
        <f t="shared" si="4"/>
        <v>2.9363395225464193</v>
      </c>
      <c r="G33" s="415">
        <f t="shared" si="4"/>
        <v>3.2767857142857144</v>
      </c>
      <c r="J33" s="448">
        <f>SUM(J23:J25)/J24</f>
        <v>2.9445086705202312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46"/>
  <sheetViews>
    <sheetView zoomScaleNormal="100" workbookViewId="0">
      <selection activeCell="C8" sqref="C8"/>
    </sheetView>
  </sheetViews>
  <sheetFormatPr defaultColWidth="8.85546875" defaultRowHeight="15" x14ac:dyDescent="0.25"/>
  <cols>
    <col min="1" max="1" width="2.7109375" style="21" customWidth="1"/>
    <col min="2" max="2" width="34.85546875" style="2" bestFit="1" customWidth="1"/>
    <col min="3" max="3" width="16.140625" style="2" customWidth="1"/>
    <col min="4" max="6" width="12.7109375" style="2" customWidth="1"/>
    <col min="7" max="7" width="13.28515625" style="2" bestFit="1" customWidth="1"/>
    <col min="8" max="16384" width="8.85546875" style="2"/>
  </cols>
  <sheetData>
    <row r="1" spans="2:6" ht="14.45" x14ac:dyDescent="0.3">
      <c r="B1" s="408" t="str">
        <f>Cost_Estimate!C2</f>
        <v>Chesterfield Road - Heeley Bridge / Broadfield Road</v>
      </c>
    </row>
    <row r="3" spans="2:6" ht="14.45" x14ac:dyDescent="0.3">
      <c r="B3" s="15" t="s">
        <v>95</v>
      </c>
      <c r="C3" s="17">
        <v>2020</v>
      </c>
    </row>
    <row r="4" spans="2:6" ht="14.45" x14ac:dyDescent="0.3">
      <c r="B4" s="15" t="s">
        <v>96</v>
      </c>
      <c r="C4" s="17">
        <v>2020</v>
      </c>
    </row>
    <row r="7" spans="2:6" x14ac:dyDescent="0.25">
      <c r="B7" s="484" t="s">
        <v>284</v>
      </c>
      <c r="C7" s="483" t="s">
        <v>139</v>
      </c>
      <c r="D7" s="483"/>
      <c r="E7" s="483" t="s">
        <v>140</v>
      </c>
      <c r="F7" s="483"/>
    </row>
    <row r="8" spans="2:6" x14ac:dyDescent="0.25">
      <c r="B8" s="484"/>
      <c r="C8" s="342" t="s">
        <v>95</v>
      </c>
      <c r="D8" s="342" t="s">
        <v>96</v>
      </c>
      <c r="E8" s="342" t="s">
        <v>95</v>
      </c>
      <c r="F8" s="342" t="s">
        <v>96</v>
      </c>
    </row>
    <row r="9" spans="2:6" ht="15" customHeight="1" x14ac:dyDescent="0.3">
      <c r="B9" s="342" t="s">
        <v>10</v>
      </c>
      <c r="C9" s="384">
        <f>Aimsun_All_Veh_Output_AMP!U15+Aimsun_All_Veh_Output_AMP!V15</f>
        <v>8157.6</v>
      </c>
      <c r="D9" s="17"/>
      <c r="E9" s="384">
        <f>Aimsun_All_Veh_Output_AMP!W15+Aimsun_All_Veh_Output_AMP!X15</f>
        <v>5697.3166666666657</v>
      </c>
      <c r="F9" s="17"/>
    </row>
    <row r="10" spans="2:6" ht="14.45" x14ac:dyDescent="0.3">
      <c r="B10" s="342" t="s">
        <v>93</v>
      </c>
      <c r="C10" s="17">
        <v>0</v>
      </c>
      <c r="D10" s="17"/>
      <c r="E10" s="17"/>
      <c r="F10" s="17"/>
    </row>
    <row r="11" spans="2:6" ht="14.45" x14ac:dyDescent="0.3">
      <c r="B11" s="342" t="s">
        <v>9</v>
      </c>
      <c r="C11" s="384">
        <f>Aimsun_All_Veh_Output_PMP!U15+Aimsun_All_Veh_Output_PMP!V15</f>
        <v>7460.5999999999995</v>
      </c>
      <c r="D11" s="17"/>
      <c r="E11" s="384">
        <f>Aimsun_All_Veh_Output_PMP!W15+Aimsun_All_Veh_Output_PMP!X15</f>
        <v>7026.0833333333339</v>
      </c>
      <c r="F11" s="17"/>
    </row>
    <row r="12" spans="2:6" ht="14.45" x14ac:dyDescent="0.3">
      <c r="B12" s="342" t="s">
        <v>94</v>
      </c>
      <c r="C12" s="17">
        <v>0</v>
      </c>
      <c r="D12" s="17"/>
      <c r="E12" s="17"/>
      <c r="F12" s="17"/>
    </row>
    <row r="14" spans="2:6" ht="14.45" x14ac:dyDescent="0.3">
      <c r="D14" s="341"/>
    </row>
    <row r="15" spans="2:6" ht="14.45" x14ac:dyDescent="0.3">
      <c r="B15" s="15" t="s">
        <v>97</v>
      </c>
      <c r="C15" s="16" t="s">
        <v>235</v>
      </c>
      <c r="D15" s="341"/>
    </row>
    <row r="16" spans="2:6" ht="15" customHeight="1" x14ac:dyDescent="0.3">
      <c r="B16" s="16" t="s">
        <v>10</v>
      </c>
      <c r="C16" s="384">
        <f>ATC_Data!J32</f>
        <v>3.0185628742514972</v>
      </c>
      <c r="D16" s="341"/>
    </row>
    <row r="17" spans="2:6" ht="14.45" x14ac:dyDescent="0.3">
      <c r="B17" s="16" t="s">
        <v>93</v>
      </c>
      <c r="C17" s="17">
        <v>6</v>
      </c>
      <c r="D17" s="341"/>
    </row>
    <row r="18" spans="2:6" ht="14.45" x14ac:dyDescent="0.3">
      <c r="B18" s="16" t="s">
        <v>9</v>
      </c>
      <c r="C18" s="384">
        <f>ATC_Data!J33</f>
        <v>2.9445086705202312</v>
      </c>
      <c r="D18" s="341"/>
    </row>
    <row r="19" spans="2:6" ht="14.45" x14ac:dyDescent="0.3">
      <c r="B19" s="16" t="s">
        <v>94</v>
      </c>
      <c r="C19" s="17">
        <v>12</v>
      </c>
      <c r="D19" s="341"/>
    </row>
    <row r="20" spans="2:6" ht="14.45" x14ac:dyDescent="0.3">
      <c r="D20" s="341"/>
    </row>
    <row r="21" spans="2:6" ht="28.9" x14ac:dyDescent="0.3">
      <c r="B21" s="18" t="s">
        <v>98</v>
      </c>
      <c r="C21" s="310">
        <v>253</v>
      </c>
    </row>
    <row r="23" spans="2:6" ht="30" customHeight="1" x14ac:dyDescent="0.3">
      <c r="B23" s="18" t="s">
        <v>102</v>
      </c>
      <c r="C23" s="16" t="s">
        <v>92</v>
      </c>
      <c r="D23" s="16" t="s">
        <v>8</v>
      </c>
      <c r="E23" s="16" t="s">
        <v>91</v>
      </c>
      <c r="F23" s="16" t="s">
        <v>90</v>
      </c>
    </row>
    <row r="24" spans="2:6" x14ac:dyDescent="0.25">
      <c r="B24" s="16" t="s">
        <v>1</v>
      </c>
      <c r="C24" s="384">
        <f>Aimsun_All_Veh_Output_AMP!C16*100</f>
        <v>96.648226488773176</v>
      </c>
      <c r="D24" s="384">
        <v>0</v>
      </c>
      <c r="E24" s="384">
        <v>0</v>
      </c>
      <c r="F24" s="384">
        <f>Aimsun_All_Veh_Output_AMP!D16*100</f>
        <v>3.3517735112268139</v>
      </c>
    </row>
    <row r="25" spans="2:6" x14ac:dyDescent="0.25">
      <c r="B25" s="16" t="s">
        <v>100</v>
      </c>
      <c r="C25" s="384">
        <v>100</v>
      </c>
      <c r="D25" s="384"/>
      <c r="E25" s="384"/>
      <c r="F25" s="384"/>
    </row>
    <row r="26" spans="2:6" x14ac:dyDescent="0.25">
      <c r="B26" s="16" t="s">
        <v>0</v>
      </c>
      <c r="C26" s="384">
        <f>Aimsun_All_Veh_Output_PMP!C16*100</f>
        <v>96.634189548272815</v>
      </c>
      <c r="D26" s="384">
        <v>0</v>
      </c>
      <c r="E26" s="384">
        <v>0</v>
      </c>
      <c r="F26" s="384">
        <f>Aimsun_All_Veh_Output_PMP!D16*100</f>
        <v>3.3658104517271923</v>
      </c>
    </row>
    <row r="27" spans="2:6" x14ac:dyDescent="0.25">
      <c r="B27" s="16" t="s">
        <v>101</v>
      </c>
      <c r="C27" s="384">
        <v>100</v>
      </c>
      <c r="D27" s="384"/>
      <c r="E27" s="384"/>
      <c r="F27" s="384"/>
    </row>
    <row r="29" spans="2:6" ht="36" customHeight="1" x14ac:dyDescent="0.25">
      <c r="B29" s="18" t="s">
        <v>204</v>
      </c>
      <c r="C29" s="16" t="s">
        <v>103</v>
      </c>
      <c r="D29" s="16" t="s">
        <v>104</v>
      </c>
      <c r="E29" s="16" t="s">
        <v>105</v>
      </c>
    </row>
    <row r="30" spans="2:6" x14ac:dyDescent="0.25">
      <c r="B30" s="16" t="s">
        <v>1</v>
      </c>
      <c r="C30" s="309">
        <f>A1.3.4!D5</f>
        <v>16.459385289942354</v>
      </c>
      <c r="D30" s="309">
        <f>A1.3.4!D6</f>
        <v>44.0642044603279</v>
      </c>
      <c r="E30" s="309">
        <f>A1.3.4!D7</f>
        <v>39.476410249729753</v>
      </c>
    </row>
    <row r="31" spans="2:6" x14ac:dyDescent="0.25">
      <c r="B31" s="16" t="s">
        <v>100</v>
      </c>
      <c r="C31" s="309">
        <f>A1.3.4!E5</f>
        <v>16.469988489431714</v>
      </c>
      <c r="D31" s="309">
        <f>A1.3.4!E6</f>
        <v>11.805618519478546</v>
      </c>
      <c r="E31" s="309">
        <f>A1.3.4!E7</f>
        <v>71.724392991089715</v>
      </c>
    </row>
    <row r="32" spans="2:6" x14ac:dyDescent="0.25">
      <c r="B32" s="16" t="s">
        <v>0</v>
      </c>
      <c r="C32" s="309">
        <f>A1.3.4!F5</f>
        <v>11.806951255862748</v>
      </c>
      <c r="D32" s="309">
        <f>A1.3.4!F6</f>
        <v>41.265765973847898</v>
      </c>
      <c r="E32" s="309">
        <f>A1.3.4!F7</f>
        <v>46.927282770289352</v>
      </c>
    </row>
    <row r="33" spans="2:5" x14ac:dyDescent="0.25">
      <c r="B33" s="16" t="s">
        <v>101</v>
      </c>
      <c r="C33" s="309">
        <f>A1.3.4!G5</f>
        <v>12.87839002123401</v>
      </c>
      <c r="D33" s="309">
        <f>A1.3.4!G6</f>
        <v>38.544312764290439</v>
      </c>
      <c r="E33" s="309">
        <f>A1.3.4!G7</f>
        <v>48.577297214475557</v>
      </c>
    </row>
    <row r="38" spans="2:5" s="341" customFormat="1" x14ac:dyDescent="0.25"/>
    <row r="39" spans="2:5" s="341" customFormat="1" x14ac:dyDescent="0.25">
      <c r="D39" s="345"/>
    </row>
    <row r="40" spans="2:5" x14ac:dyDescent="0.25">
      <c r="D40" s="343"/>
    </row>
    <row r="41" spans="2:5" x14ac:dyDescent="0.25">
      <c r="D41" s="344"/>
    </row>
    <row r="42" spans="2:5" x14ac:dyDescent="0.25">
      <c r="D42" s="344"/>
    </row>
    <row r="43" spans="2:5" x14ac:dyDescent="0.25">
      <c r="D43" s="345"/>
    </row>
    <row r="44" spans="2:5" x14ac:dyDescent="0.25">
      <c r="D44" s="345"/>
    </row>
    <row r="45" spans="2:5" x14ac:dyDescent="0.25">
      <c r="D45" s="341"/>
    </row>
    <row r="46" spans="2:5" x14ac:dyDescent="0.25">
      <c r="D46" s="347"/>
    </row>
  </sheetData>
  <mergeCells count="3">
    <mergeCell ref="C7:D7"/>
    <mergeCell ref="E7:F7"/>
    <mergeCell ref="B7:B8"/>
  </mergeCells>
  <pageMargins left="0.7" right="0.7" top="0.75" bottom="0.75" header="0.3" footer="0.3"/>
  <pageSetup paperSize="9" orientation="portrait"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42"/>
  <sheetViews>
    <sheetView workbookViewId="0">
      <selection activeCell="H29" sqref="H29"/>
    </sheetView>
  </sheetViews>
  <sheetFormatPr defaultRowHeight="15" x14ac:dyDescent="0.25"/>
  <cols>
    <col min="2" max="2" width="21.5703125" customWidth="1"/>
    <col min="3" max="3" width="11.7109375" customWidth="1"/>
    <col min="4" max="4" width="12.5703125" customWidth="1"/>
    <col min="7" max="7" width="15.140625" customWidth="1"/>
    <col min="8" max="8" width="18" customWidth="1"/>
  </cols>
  <sheetData>
    <row r="1" spans="1:8" ht="14.45" x14ac:dyDescent="0.3">
      <c r="A1" t="s">
        <v>240</v>
      </c>
    </row>
    <row r="2" spans="1:8" thickBot="1" x14ac:dyDescent="0.35"/>
    <row r="3" spans="1:8" ht="14.45" x14ac:dyDescent="0.3">
      <c r="A3" t="s">
        <v>13</v>
      </c>
      <c r="B3" s="73" t="s">
        <v>236</v>
      </c>
      <c r="C3" s="74"/>
      <c r="D3" s="74"/>
      <c r="E3" s="74"/>
      <c r="F3" s="74"/>
      <c r="G3" s="74" t="s">
        <v>237</v>
      </c>
      <c r="H3" s="75"/>
    </row>
    <row r="4" spans="1:8" ht="14.45" x14ac:dyDescent="0.3">
      <c r="B4" s="76"/>
      <c r="C4" s="77">
        <f>'Model Outputs'!C3</f>
        <v>2020</v>
      </c>
      <c r="D4" s="77">
        <f>'Model Outputs'!C4</f>
        <v>2020</v>
      </c>
      <c r="E4" s="77"/>
      <c r="F4" s="77"/>
      <c r="G4" s="77">
        <f>C4</f>
        <v>2020</v>
      </c>
      <c r="H4" s="78">
        <f>D4</f>
        <v>2020</v>
      </c>
    </row>
    <row r="5" spans="1:8" ht="14.45" x14ac:dyDescent="0.3">
      <c r="B5" s="76" t="s">
        <v>10</v>
      </c>
      <c r="C5" s="453">
        <f>'Model Outputs'!C9</f>
        <v>8157.6</v>
      </c>
      <c r="D5" s="453">
        <f>'Model Outputs'!D9</f>
        <v>0</v>
      </c>
      <c r="E5" s="77"/>
      <c r="F5" s="77" t="s">
        <v>10</v>
      </c>
      <c r="G5" s="312">
        <f>C5/60</f>
        <v>135.96</v>
      </c>
      <c r="H5" s="313">
        <f>D5/60</f>
        <v>0</v>
      </c>
    </row>
    <row r="6" spans="1:8" ht="14.45" x14ac:dyDescent="0.3">
      <c r="B6" s="76" t="s">
        <v>93</v>
      </c>
      <c r="C6" s="453">
        <f>'Model Outputs'!C10</f>
        <v>0</v>
      </c>
      <c r="D6" s="453">
        <f>'Model Outputs'!D10</f>
        <v>0</v>
      </c>
      <c r="E6" s="77"/>
      <c r="F6" s="77" t="s">
        <v>93</v>
      </c>
      <c r="G6" s="312">
        <f t="shared" ref="G6:G8" si="0">C6/60</f>
        <v>0</v>
      </c>
      <c r="H6" s="313">
        <f t="shared" ref="H6:H8" si="1">D6/60</f>
        <v>0</v>
      </c>
    </row>
    <row r="7" spans="1:8" ht="14.45" x14ac:dyDescent="0.3">
      <c r="B7" s="76" t="s">
        <v>9</v>
      </c>
      <c r="C7" s="453">
        <f>'Model Outputs'!C11</f>
        <v>7460.5999999999995</v>
      </c>
      <c r="D7" s="453">
        <f>'Model Outputs'!D11</f>
        <v>0</v>
      </c>
      <c r="E7" s="77"/>
      <c r="F7" s="77" t="s">
        <v>9</v>
      </c>
      <c r="G7" s="312">
        <f t="shared" si="0"/>
        <v>124.34333333333332</v>
      </c>
      <c r="H7" s="313">
        <f t="shared" si="1"/>
        <v>0</v>
      </c>
    </row>
    <row r="8" spans="1:8" thickBot="1" x14ac:dyDescent="0.35">
      <c r="B8" s="79" t="s">
        <v>94</v>
      </c>
      <c r="C8" s="454">
        <f>'Model Outputs'!C12</f>
        <v>0</v>
      </c>
      <c r="D8" s="454">
        <f>'Model Outputs'!D12</f>
        <v>0</v>
      </c>
      <c r="E8" s="80"/>
      <c r="F8" s="80" t="s">
        <v>94</v>
      </c>
      <c r="G8" s="314">
        <f t="shared" si="0"/>
        <v>0</v>
      </c>
      <c r="H8" s="315">
        <f t="shared" si="1"/>
        <v>0</v>
      </c>
    </row>
    <row r="9" spans="1:8" thickBot="1" x14ac:dyDescent="0.35">
      <c r="C9" s="423"/>
      <c r="D9" s="423"/>
    </row>
    <row r="10" spans="1:8" ht="14.45" x14ac:dyDescent="0.3">
      <c r="B10" s="73" t="s">
        <v>238</v>
      </c>
      <c r="C10" s="455"/>
      <c r="D10" s="455"/>
      <c r="E10" s="74"/>
      <c r="F10" s="74"/>
      <c r="G10" s="74" t="s">
        <v>237</v>
      </c>
      <c r="H10" s="75"/>
    </row>
    <row r="11" spans="1:8" ht="14.45" x14ac:dyDescent="0.3">
      <c r="B11" s="76"/>
      <c r="C11" s="456">
        <f>'Model Outputs'!C3</f>
        <v>2020</v>
      </c>
      <c r="D11" s="456">
        <f>'Model Outputs'!C4</f>
        <v>2020</v>
      </c>
      <c r="E11" s="77"/>
      <c r="F11" s="77"/>
      <c r="G11" s="77">
        <f>C11</f>
        <v>2020</v>
      </c>
      <c r="H11" s="78">
        <f>D11</f>
        <v>2020</v>
      </c>
    </row>
    <row r="12" spans="1:8" ht="14.45" x14ac:dyDescent="0.3">
      <c r="B12" s="76" t="s">
        <v>10</v>
      </c>
      <c r="C12" s="453">
        <f>'Model Outputs'!E9</f>
        <v>5697.3166666666657</v>
      </c>
      <c r="D12" s="453">
        <f>'Model Outputs'!F9</f>
        <v>0</v>
      </c>
      <c r="E12" s="77"/>
      <c r="F12" s="77" t="s">
        <v>10</v>
      </c>
      <c r="G12" s="312">
        <f>C12/60</f>
        <v>94.955277777777766</v>
      </c>
      <c r="H12" s="313">
        <f>D12/60</f>
        <v>0</v>
      </c>
    </row>
    <row r="13" spans="1:8" ht="14.45" x14ac:dyDescent="0.3">
      <c r="B13" s="76" t="s">
        <v>93</v>
      </c>
      <c r="C13" s="453">
        <f>'Model Outputs'!E10</f>
        <v>0</v>
      </c>
      <c r="D13" s="453">
        <f>'Model Outputs'!F10</f>
        <v>0</v>
      </c>
      <c r="E13" s="77"/>
      <c r="F13" s="77" t="s">
        <v>93</v>
      </c>
      <c r="G13" s="312">
        <f t="shared" ref="G13:G15" si="2">C13/60</f>
        <v>0</v>
      </c>
      <c r="H13" s="313">
        <f t="shared" ref="H13:H15" si="3">D13/60</f>
        <v>0</v>
      </c>
    </row>
    <row r="14" spans="1:8" ht="14.45" x14ac:dyDescent="0.3">
      <c r="B14" s="76" t="s">
        <v>9</v>
      </c>
      <c r="C14" s="453">
        <f>'Model Outputs'!E11</f>
        <v>7026.0833333333339</v>
      </c>
      <c r="D14" s="453">
        <f>'Model Outputs'!F11</f>
        <v>0</v>
      </c>
      <c r="E14" s="77"/>
      <c r="F14" s="77" t="s">
        <v>9</v>
      </c>
      <c r="G14" s="312">
        <f t="shared" si="2"/>
        <v>117.10138888888891</v>
      </c>
      <c r="H14" s="313">
        <f t="shared" si="3"/>
        <v>0</v>
      </c>
    </row>
    <row r="15" spans="1:8" thickBot="1" x14ac:dyDescent="0.35">
      <c r="B15" s="79" t="s">
        <v>94</v>
      </c>
      <c r="C15" s="454">
        <f>'Model Outputs'!E12</f>
        <v>0</v>
      </c>
      <c r="D15" s="454">
        <f>'Model Outputs'!F12</f>
        <v>0</v>
      </c>
      <c r="E15" s="80"/>
      <c r="F15" s="80" t="s">
        <v>94</v>
      </c>
      <c r="G15" s="314">
        <f t="shared" si="2"/>
        <v>0</v>
      </c>
      <c r="H15" s="315">
        <f t="shared" si="3"/>
        <v>0</v>
      </c>
    </row>
    <row r="17" spans="2:4" ht="18.600000000000001" customHeight="1" thickBot="1" x14ac:dyDescent="0.35"/>
    <row r="18" spans="2:4" ht="14.45" x14ac:dyDescent="0.3">
      <c r="B18" s="73" t="s">
        <v>239</v>
      </c>
      <c r="C18" s="74"/>
      <c r="D18" s="75"/>
    </row>
    <row r="19" spans="2:4" ht="14.45" x14ac:dyDescent="0.3">
      <c r="B19" s="76"/>
      <c r="C19" s="77">
        <f>C4</f>
        <v>2020</v>
      </c>
      <c r="D19" s="78">
        <f>D4</f>
        <v>2020</v>
      </c>
    </row>
    <row r="20" spans="2:4" ht="14.45" customHeight="1" x14ac:dyDescent="0.3">
      <c r="B20" s="76" t="s">
        <v>10</v>
      </c>
      <c r="C20" s="449">
        <f>'Model Outputs'!C16</f>
        <v>3.0185628742514972</v>
      </c>
      <c r="D20" s="450">
        <f>C20</f>
        <v>3.0185628742514972</v>
      </c>
    </row>
    <row r="21" spans="2:4" ht="14.45" x14ac:dyDescent="0.3">
      <c r="B21" s="76" t="s">
        <v>93</v>
      </c>
      <c r="C21" s="449">
        <f>'Model Outputs'!C17</f>
        <v>6</v>
      </c>
      <c r="D21" s="450">
        <f t="shared" ref="D21:D23" si="4">C21</f>
        <v>6</v>
      </c>
    </row>
    <row r="22" spans="2:4" ht="14.45" x14ac:dyDescent="0.3">
      <c r="B22" s="76" t="s">
        <v>9</v>
      </c>
      <c r="C22" s="449">
        <f>'Model Outputs'!C18</f>
        <v>2.9445086705202312</v>
      </c>
      <c r="D22" s="450">
        <f t="shared" si="4"/>
        <v>2.9445086705202312</v>
      </c>
    </row>
    <row r="23" spans="2:4" thickBot="1" x14ac:dyDescent="0.35">
      <c r="B23" s="79" t="s">
        <v>94</v>
      </c>
      <c r="C23" s="451">
        <f>'Model Outputs'!C19</f>
        <v>12</v>
      </c>
      <c r="D23" s="452">
        <f t="shared" si="4"/>
        <v>12</v>
      </c>
    </row>
    <row r="25" spans="2:4" thickBot="1" x14ac:dyDescent="0.35"/>
    <row r="26" spans="2:4" ht="15.75" thickBot="1" x14ac:dyDescent="0.3">
      <c r="B26" s="81" t="s">
        <v>212</v>
      </c>
      <c r="C26" s="311">
        <f>'Model Outputs'!C21</f>
        <v>253</v>
      </c>
    </row>
    <row r="28" spans="2:4" ht="15.75" thickBot="1" x14ac:dyDescent="0.3"/>
    <row r="29" spans="2:4" ht="30.75" customHeight="1" x14ac:dyDescent="0.25">
      <c r="B29" s="488" t="s">
        <v>12</v>
      </c>
      <c r="C29" s="489"/>
      <c r="D29" s="490"/>
    </row>
    <row r="30" spans="2:4" x14ac:dyDescent="0.25">
      <c r="B30" s="82"/>
      <c r="C30" s="77">
        <f>C19</f>
        <v>2020</v>
      </c>
      <c r="D30" s="78">
        <f>D19</f>
        <v>2020</v>
      </c>
    </row>
    <row r="31" spans="2:4" x14ac:dyDescent="0.25">
      <c r="B31" s="76" t="s">
        <v>10</v>
      </c>
      <c r="C31" s="312">
        <f t="shared" ref="C31:D34" si="5">(G5-G12)</f>
        <v>41.004722222222242</v>
      </c>
      <c r="D31" s="312">
        <f t="shared" si="5"/>
        <v>0</v>
      </c>
    </row>
    <row r="32" spans="2:4" x14ac:dyDescent="0.25">
      <c r="B32" s="76" t="s">
        <v>93</v>
      </c>
      <c r="C32" s="312">
        <f t="shared" si="5"/>
        <v>0</v>
      </c>
      <c r="D32" s="312">
        <f t="shared" si="5"/>
        <v>0</v>
      </c>
    </row>
    <row r="33" spans="2:4" x14ac:dyDescent="0.25">
      <c r="B33" s="76" t="s">
        <v>9</v>
      </c>
      <c r="C33" s="312">
        <f t="shared" si="5"/>
        <v>7.2419444444444139</v>
      </c>
      <c r="D33" s="312">
        <f t="shared" si="5"/>
        <v>0</v>
      </c>
    </row>
    <row r="34" spans="2:4" x14ac:dyDescent="0.25">
      <c r="B34" s="76" t="s">
        <v>94</v>
      </c>
      <c r="C34" s="312">
        <f t="shared" si="5"/>
        <v>0</v>
      </c>
      <c r="D34" s="312">
        <f t="shared" si="5"/>
        <v>0</v>
      </c>
    </row>
    <row r="35" spans="2:4" x14ac:dyDescent="0.25">
      <c r="B35" s="76"/>
      <c r="C35" s="77"/>
      <c r="D35" s="78"/>
    </row>
    <row r="36" spans="2:4" ht="30" customHeight="1" x14ac:dyDescent="0.25">
      <c r="B36" s="485" t="s">
        <v>11</v>
      </c>
      <c r="C36" s="486"/>
      <c r="D36" s="487"/>
    </row>
    <row r="37" spans="2:4" x14ac:dyDescent="0.25">
      <c r="B37" s="82"/>
      <c r="C37" s="77">
        <f>C30</f>
        <v>2020</v>
      </c>
      <c r="D37" s="78">
        <f>D30</f>
        <v>2020</v>
      </c>
    </row>
    <row r="38" spans="2:4" x14ac:dyDescent="0.25">
      <c r="B38" s="76" t="s">
        <v>10</v>
      </c>
      <c r="C38" s="312">
        <f t="shared" ref="C38:D41" si="6">(G5-G12)*$C$26*C20</f>
        <v>31315.159038755839</v>
      </c>
      <c r="D38" s="313">
        <f t="shared" si="6"/>
        <v>0</v>
      </c>
    </row>
    <row r="39" spans="2:4" ht="15" customHeight="1" x14ac:dyDescent="0.25">
      <c r="B39" s="76" t="s">
        <v>93</v>
      </c>
      <c r="C39" s="312">
        <f t="shared" si="6"/>
        <v>0</v>
      </c>
      <c r="D39" s="313">
        <f t="shared" si="6"/>
        <v>0</v>
      </c>
    </row>
    <row r="40" spans="2:4" x14ac:dyDescent="0.25">
      <c r="B40" s="76" t="s">
        <v>9</v>
      </c>
      <c r="C40" s="312">
        <f t="shared" si="6"/>
        <v>5394.9639566473761</v>
      </c>
      <c r="D40" s="313">
        <f t="shared" si="6"/>
        <v>0</v>
      </c>
    </row>
    <row r="41" spans="2:4" ht="15.75" thickBot="1" x14ac:dyDescent="0.3">
      <c r="B41" s="79" t="s">
        <v>94</v>
      </c>
      <c r="C41" s="314">
        <f t="shared" si="6"/>
        <v>0</v>
      </c>
      <c r="D41" s="315">
        <f t="shared" si="6"/>
        <v>0</v>
      </c>
    </row>
    <row r="42" spans="2:4" ht="15" customHeight="1" x14ac:dyDescent="0.25"/>
  </sheetData>
  <mergeCells count="2">
    <mergeCell ref="B36:D36"/>
    <mergeCell ref="B29:D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Cost_Estimate</vt:lpstr>
      <vt:lpstr>PVC</vt:lpstr>
      <vt:lpstr>Aimsun_All_Veh_Output_AMP</vt:lpstr>
      <vt:lpstr>Aimsun_Bus_Output_AMP</vt:lpstr>
      <vt:lpstr>Aimsun_All_Veh_Output_PMP</vt:lpstr>
      <vt:lpstr>Aimsun_Bus_Output_PMP</vt:lpstr>
      <vt:lpstr>ATC_Data</vt:lpstr>
      <vt:lpstr>Model Outputs</vt:lpstr>
      <vt:lpstr>Vehicle and Delay Conversion</vt:lpstr>
      <vt:lpstr>VoT calcs</vt:lpstr>
      <vt:lpstr>PVB</vt:lpstr>
      <vt:lpstr>BCR</vt:lpstr>
      <vt:lpstr>A1.3.4</vt:lpstr>
      <vt:lpstr>A1.3.5</vt:lpstr>
      <vt:lpstr>VOT growth</vt:lpstr>
      <vt:lpstr>Annual Parameters</vt:lpstr>
      <vt:lpstr>Parameters</vt:lpstr>
    </vt:vector>
  </TitlesOfParts>
  <Company>Parsons Brinckerhoff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Blackburn, Chris</dc:creator>
  <cp:lastModifiedBy>McIntyre Duncan</cp:lastModifiedBy>
  <dcterms:created xsi:type="dcterms:W3CDTF">2017-05-26T06:34:42Z</dcterms:created>
  <dcterms:modified xsi:type="dcterms:W3CDTF">2017-12-21T12:24:00Z</dcterms:modified>
</cp:coreProperties>
</file>