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0" yWindow="0" windowWidth="20730" windowHeight="9090" tabRatio="913" firstSheet="6" activeTab="11"/>
  </bookViews>
  <sheets>
    <sheet name="Cover" sheetId="20" r:id="rId1"/>
    <sheet name="Map" sheetId="19" r:id="rId2"/>
    <sheet name="Changes" sheetId="14" r:id="rId3"/>
    <sheet name="Quality_Assurance" sheetId="18" r:id="rId4"/>
    <sheet name="INP_Fleet_Assumptions" sheetId="9" r:id="rId5"/>
    <sheet name="PRO_Fleet_Assumptions" sheetId="10" r:id="rId6"/>
    <sheet name="INP_T_Model_inputs" sheetId="11" r:id="rId7"/>
    <sheet name="INP_Aggegation_Categories" sheetId="15" r:id="rId8"/>
    <sheet name="CALC_Current_option" sheetId="2" r:id="rId9"/>
    <sheet name="INP_Cordon_Assumptions" sheetId="12" r:id="rId10"/>
    <sheet name="INP_Assumptions" sheetId="13" r:id="rId11"/>
    <sheet name="CALC_Funding" sheetId="1" r:id="rId12"/>
    <sheet name="CALC_Int_on_loan_Taxis" sheetId="4" r:id="rId13"/>
    <sheet name="CALC_Int_on_loan_Other" sheetId="23" r:id="rId14"/>
    <sheet name="OUT_Cost_Summary" sheetId="5" r:id="rId15"/>
    <sheet name="OUT_FinCase_Summary" sheetId="16" r:id="rId16"/>
    <sheet name="Measures_cost_detail" sheetId="21" r:id="rId17"/>
    <sheet name="Loans&amp;Incentives" sheetId="22" r:id="rId18"/>
    <sheet name="CAZ_Scenario_Differences" sheetId="24" r:id="rId19"/>
  </sheets>
  <externalReferences>
    <externalReference r:id="rId20"/>
  </externalReferences>
  <definedNames>
    <definedName name="_xlnm._FilterDatabase" localSheetId="11" hidden="1">CALC_Funding!$A$5:$BR$146</definedName>
    <definedName name="_xlnm._FilterDatabase" localSheetId="16" hidden="1">Measures_cost_detail!$B$2:$T$95</definedName>
    <definedName name="_xlnm._FilterDatabase" localSheetId="15" hidden="1">OUT_FinCase_Summary!$A$3:$AD$30</definedName>
    <definedName name="Appraisal_start_year">[1]Parameters!$C$7</definedName>
    <definedName name="GDP_deflator">[1]Data!$C$7:$J$7</definedName>
    <definedName name="GDP_years">[1]Data!$C$6:$J$6</definedName>
    <definedName name="Price_Year">[1]Parameters!$C$6</definedName>
    <definedName name="WTP_for_health_growth">[1]Parameters!$C$10</definedName>
  </definedNames>
  <calcPr calcId="145621"/>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8" i="24" l="1"/>
  <c r="M28" i="24"/>
  <c r="J28" i="24"/>
  <c r="K28" i="24"/>
  <c r="I28" i="24"/>
  <c r="H28" i="24"/>
  <c r="G28" i="24"/>
  <c r="F28" i="24"/>
  <c r="E28" i="24"/>
  <c r="D28" i="24"/>
  <c r="T82" i="21"/>
  <c r="T81" i="21"/>
  <c r="T80" i="21"/>
  <c r="T79" i="21"/>
  <c r="T78" i="21"/>
  <c r="T77" i="21"/>
  <c r="T76" i="21"/>
  <c r="T75" i="21"/>
  <c r="T74" i="21"/>
  <c r="T72" i="21"/>
  <c r="T71" i="21"/>
  <c r="T70" i="21"/>
  <c r="T69" i="21"/>
  <c r="S69" i="21"/>
  <c r="T68" i="21"/>
  <c r="S68" i="21"/>
  <c r="T67" i="21"/>
  <c r="S67" i="21"/>
  <c r="T64" i="21"/>
  <c r="T63" i="21"/>
  <c r="T54" i="21"/>
  <c r="T53" i="21"/>
  <c r="T52" i="21"/>
  <c r="T51" i="21"/>
  <c r="T36" i="21"/>
  <c r="S36" i="21"/>
  <c r="T35" i="21"/>
  <c r="S35" i="21"/>
  <c r="T34" i="21"/>
  <c r="S34" i="21"/>
  <c r="T33" i="21"/>
  <c r="S33" i="21"/>
  <c r="T32" i="21"/>
  <c r="S32" i="21"/>
  <c r="T31" i="21"/>
  <c r="S31" i="21"/>
  <c r="T30" i="21"/>
  <c r="S30" i="21"/>
  <c r="T26" i="21"/>
  <c r="T25" i="21"/>
  <c r="T24" i="21"/>
  <c r="T23" i="21"/>
  <c r="S22" i="21"/>
  <c r="T18" i="21"/>
  <c r="T17" i="21"/>
  <c r="T16" i="21"/>
  <c r="R16" i="21"/>
  <c r="T15" i="21"/>
  <c r="T14" i="21"/>
  <c r="T11" i="21"/>
  <c r="T10" i="21"/>
  <c r="S10" i="21"/>
  <c r="T8" i="21"/>
  <c r="T7" i="21"/>
  <c r="T6" i="21"/>
  <c r="T5" i="21"/>
  <c r="F84" i="21"/>
  <c r="F82" i="21"/>
  <c r="F81" i="21"/>
  <c r="F80" i="21"/>
  <c r="F79" i="21"/>
  <c r="F78" i="21"/>
  <c r="F77" i="21"/>
  <c r="F76" i="21"/>
  <c r="F75" i="21"/>
  <c r="F74" i="21"/>
  <c r="F70" i="21"/>
  <c r="F63" i="21"/>
  <c r="F54" i="21"/>
  <c r="F53" i="21"/>
  <c r="F52" i="21"/>
  <c r="F51" i="21"/>
  <c r="F39" i="21"/>
  <c r="F38" i="21"/>
  <c r="F31" i="21"/>
  <c r="F26" i="21"/>
  <c r="F25" i="21"/>
  <c r="F24" i="21"/>
  <c r="F23" i="21"/>
  <c r="F22" i="21"/>
  <c r="F19" i="21"/>
  <c r="F18" i="21"/>
  <c r="F15" i="21"/>
  <c r="F14" i="21"/>
  <c r="F10" i="21"/>
  <c r="F4" i="21"/>
  <c r="D148" i="2" l="1"/>
  <c r="C148" i="2"/>
  <c r="L47" i="1" l="1"/>
  <c r="BP48" i="1"/>
  <c r="AH48" i="1"/>
  <c r="H48" i="1"/>
  <c r="F48" i="1"/>
  <c r="E48" i="1"/>
  <c r="BG48" i="1" s="1"/>
  <c r="E148" i="2"/>
  <c r="O21" i="24" l="1"/>
  <c r="P21" i="24"/>
  <c r="Q21" i="24"/>
  <c r="R21" i="24"/>
  <c r="O22" i="24"/>
  <c r="P22" i="24"/>
  <c r="Q22" i="24"/>
  <c r="R22" i="24"/>
  <c r="O23" i="24"/>
  <c r="P23" i="24"/>
  <c r="Q23" i="24"/>
  <c r="R23" i="24"/>
  <c r="O24" i="24"/>
  <c r="P24" i="24"/>
  <c r="Q24" i="24"/>
  <c r="R24" i="24"/>
  <c r="O25" i="24"/>
  <c r="P25" i="24"/>
  <c r="Q25" i="24"/>
  <c r="R25" i="24"/>
  <c r="O26" i="24"/>
  <c r="P26" i="24"/>
  <c r="Q26" i="24"/>
  <c r="R26" i="24"/>
  <c r="O3" i="24"/>
  <c r="O4" i="24"/>
  <c r="O5" i="24"/>
  <c r="O6" i="24"/>
  <c r="O7" i="24"/>
  <c r="O8" i="24"/>
  <c r="O9" i="24"/>
  <c r="O10" i="24"/>
  <c r="O11" i="24"/>
  <c r="O12" i="24"/>
  <c r="O13" i="24"/>
  <c r="O14" i="24"/>
  <c r="O15" i="24"/>
  <c r="O16" i="24"/>
  <c r="O17" i="24"/>
  <c r="O18" i="24"/>
  <c r="O19" i="24"/>
  <c r="O20" i="24"/>
  <c r="P3" i="24"/>
  <c r="P4" i="24"/>
  <c r="P5" i="24"/>
  <c r="P6" i="24"/>
  <c r="P7" i="24"/>
  <c r="P8" i="24"/>
  <c r="P9" i="24"/>
  <c r="P10" i="24"/>
  <c r="P11" i="24"/>
  <c r="P12" i="24"/>
  <c r="P13" i="24"/>
  <c r="P14" i="24"/>
  <c r="P15" i="24"/>
  <c r="P16" i="24"/>
  <c r="P17" i="24"/>
  <c r="P18" i="24"/>
  <c r="P19" i="24"/>
  <c r="P20" i="24"/>
  <c r="Q3" i="24"/>
  <c r="Q4" i="24"/>
  <c r="Q5" i="24"/>
  <c r="Q6" i="24"/>
  <c r="Q7" i="24"/>
  <c r="Q8" i="24"/>
  <c r="Q9" i="24"/>
  <c r="Q10" i="24"/>
  <c r="Q11" i="24"/>
  <c r="Q12" i="24"/>
  <c r="Q13" i="24"/>
  <c r="Q14" i="24"/>
  <c r="Q15" i="24"/>
  <c r="Q16" i="24"/>
  <c r="Q17" i="24"/>
  <c r="Q18" i="24"/>
  <c r="Q19" i="24"/>
  <c r="Q20" i="24"/>
  <c r="R3" i="24"/>
  <c r="R4" i="24"/>
  <c r="R5" i="24"/>
  <c r="R6" i="24"/>
  <c r="R7" i="24"/>
  <c r="R8" i="24"/>
  <c r="R9" i="24"/>
  <c r="R10" i="24"/>
  <c r="R11" i="24"/>
  <c r="R12" i="24"/>
  <c r="R13" i="24"/>
  <c r="R14" i="24"/>
  <c r="R15" i="24"/>
  <c r="R16" i="24"/>
  <c r="R17" i="24"/>
  <c r="R18" i="24"/>
  <c r="R19" i="24"/>
  <c r="R20" i="24"/>
  <c r="H37" i="21" l="1"/>
  <c r="T37" i="21" s="1"/>
  <c r="G37" i="21"/>
  <c r="S37" i="21" s="1"/>
  <c r="H9" i="21"/>
  <c r="T9" i="21" s="1"/>
  <c r="N81" i="16" l="1"/>
  <c r="AH8" i="23" l="1"/>
  <c r="AH11" i="23" s="1"/>
  <c r="AE8" i="23"/>
  <c r="AE11" i="23" s="1"/>
  <c r="AD8" i="23"/>
  <c r="AD11" i="23" s="1"/>
  <c r="AA8" i="23"/>
  <c r="AA11" i="23" s="1"/>
  <c r="Z8" i="23"/>
  <c r="Z11" i="23" s="1"/>
  <c r="AJ2" i="23"/>
  <c r="AI2" i="23"/>
  <c r="AG8" i="23" s="1"/>
  <c r="AG11" i="23" s="1"/>
  <c r="AH2" i="23"/>
  <c r="AF8" i="23" s="1"/>
  <c r="AF11" i="23" s="1"/>
  <c r="AG2" i="23"/>
  <c r="AF2" i="23"/>
  <c r="AC2" i="23"/>
  <c r="AC8" i="23" s="1"/>
  <c r="AC11" i="23" s="1"/>
  <c r="AB2" i="23"/>
  <c r="AB8" i="23" s="1"/>
  <c r="AB11" i="23" s="1"/>
  <c r="AA2" i="23"/>
  <c r="Z2" i="23"/>
  <c r="Y2" i="23"/>
  <c r="Y8" i="23" s="1"/>
  <c r="Y11" i="23" s="1"/>
  <c r="Q92" i="21" l="1"/>
  <c r="BJ143" i="1"/>
  <c r="AH143" i="1"/>
  <c r="H143" i="1"/>
  <c r="F143" i="1"/>
  <c r="E143" i="1"/>
  <c r="BG143" i="1" s="1"/>
  <c r="A6" i="23"/>
  <c r="B6" i="4"/>
  <c r="D6" i="4" s="1"/>
  <c r="B4" i="23"/>
  <c r="AK2" i="23"/>
  <c r="E4" i="23" l="1"/>
  <c r="F4" i="23" s="1"/>
  <c r="AK1" i="23"/>
  <c r="D6" i="23"/>
  <c r="M81" i="16"/>
  <c r="AP1" i="1"/>
  <c r="BC1" i="1" s="1"/>
  <c r="AO1" i="1"/>
  <c r="BB1" i="1" s="1"/>
  <c r="AN1" i="1"/>
  <c r="BA1" i="1" s="1"/>
  <c r="AM1" i="1"/>
  <c r="AZ1" i="1" s="1"/>
  <c r="AL1" i="1"/>
  <c r="AY1" i="1" s="1"/>
  <c r="AK1" i="1"/>
  <c r="AX1" i="1" s="1"/>
  <c r="AJ1" i="1"/>
  <c r="AW1" i="1" s="1"/>
  <c r="AI1" i="1"/>
  <c r="AV1" i="1" s="1"/>
  <c r="F6" i="23" l="1"/>
  <c r="G4" i="23"/>
  <c r="G6" i="23" s="1"/>
  <c r="E6" i="23"/>
  <c r="Y3" i="23" s="1"/>
  <c r="Y9" i="23" s="1"/>
  <c r="H4" i="23"/>
  <c r="H6" i="23" s="1"/>
  <c r="C124" i="13"/>
  <c r="Y4" i="23" l="1"/>
  <c r="Y10" i="23" s="1"/>
  <c r="Z3" i="23"/>
  <c r="Z9" i="23"/>
  <c r="Z4" i="23"/>
  <c r="Z10" i="23" s="1"/>
  <c r="Y12" i="23"/>
  <c r="Y13" i="23"/>
  <c r="Y14" i="23" s="1"/>
  <c r="I4" i="23"/>
  <c r="I6" i="23" s="1"/>
  <c r="AA3" i="23" s="1"/>
  <c r="AA4" i="23" l="1"/>
  <c r="AA10" i="23" s="1"/>
  <c r="AA9" i="23"/>
  <c r="Z12" i="23"/>
  <c r="Z13" i="23"/>
  <c r="Z14" i="23" s="1"/>
  <c r="J4" i="23"/>
  <c r="J6" i="23" s="1"/>
  <c r="AH164" i="1"/>
  <c r="AH163" i="1"/>
  <c r="AH162" i="1"/>
  <c r="AH161" i="1"/>
  <c r="AH160" i="1"/>
  <c r="AH159" i="1"/>
  <c r="AH158" i="1"/>
  <c r="AH157" i="1"/>
  <c r="AH146" i="1"/>
  <c r="AH145" i="1"/>
  <c r="AH144" i="1"/>
  <c r="AH142" i="1"/>
  <c r="AH141" i="1"/>
  <c r="AH140" i="1"/>
  <c r="AH139" i="1"/>
  <c r="AH138" i="1"/>
  <c r="AH137" i="1"/>
  <c r="AH136" i="1"/>
  <c r="AH135" i="1"/>
  <c r="AH134" i="1"/>
  <c r="AH133" i="1"/>
  <c r="AH132" i="1"/>
  <c r="AH131" i="1"/>
  <c r="AH130" i="1"/>
  <c r="AH129" i="1"/>
  <c r="AH128" i="1"/>
  <c r="AH127" i="1"/>
  <c r="AH126" i="1"/>
  <c r="AH125" i="1"/>
  <c r="AH124" i="1"/>
  <c r="AH123" i="1"/>
  <c r="AH122" i="1"/>
  <c r="AH121" i="1"/>
  <c r="AH120" i="1"/>
  <c r="AH119" i="1"/>
  <c r="AH118" i="1"/>
  <c r="AH117" i="1"/>
  <c r="AH116" i="1"/>
  <c r="AH115" i="1"/>
  <c r="AH114" i="1"/>
  <c r="AH113" i="1"/>
  <c r="AH112" i="1"/>
  <c r="AH111" i="1"/>
  <c r="AH110" i="1"/>
  <c r="AH109" i="1"/>
  <c r="AH108" i="1"/>
  <c r="AH107" i="1"/>
  <c r="AH106" i="1"/>
  <c r="AH105" i="1"/>
  <c r="AH104" i="1"/>
  <c r="AH103" i="1"/>
  <c r="AH102" i="1"/>
  <c r="AH101" i="1"/>
  <c r="AH100" i="1"/>
  <c r="AH99" i="1"/>
  <c r="AH98" i="1"/>
  <c r="AH97" i="1"/>
  <c r="AH96" i="1"/>
  <c r="AH95" i="1"/>
  <c r="AH94" i="1"/>
  <c r="AH93" i="1"/>
  <c r="AH92" i="1"/>
  <c r="AH91" i="1"/>
  <c r="AH90" i="1"/>
  <c r="AH89" i="1"/>
  <c r="AH88" i="1"/>
  <c r="AH87" i="1"/>
  <c r="AH86" i="1"/>
  <c r="AH85" i="1"/>
  <c r="AH84" i="1"/>
  <c r="AH83" i="1"/>
  <c r="AH82" i="1"/>
  <c r="AH81" i="1"/>
  <c r="AH80" i="1"/>
  <c r="AH79" i="1"/>
  <c r="AH78" i="1"/>
  <c r="AH77" i="1"/>
  <c r="AH76" i="1"/>
  <c r="AH75" i="1"/>
  <c r="AH74" i="1"/>
  <c r="AH73" i="1"/>
  <c r="AH72" i="1"/>
  <c r="AH71" i="1"/>
  <c r="AH70" i="1"/>
  <c r="AH69" i="1"/>
  <c r="AH68" i="1"/>
  <c r="AH67" i="1"/>
  <c r="AH66" i="1"/>
  <c r="AH65" i="1"/>
  <c r="AH64" i="1"/>
  <c r="AH63" i="1"/>
  <c r="AH62" i="1"/>
  <c r="AH61" i="1"/>
  <c r="AH60" i="1"/>
  <c r="AH59" i="1"/>
  <c r="AH58" i="1"/>
  <c r="AH57" i="1"/>
  <c r="AH54" i="1"/>
  <c r="AH53" i="1"/>
  <c r="AH52" i="1"/>
  <c r="AH51" i="1"/>
  <c r="AH50" i="1"/>
  <c r="AH49" i="1"/>
  <c r="AH47" i="1"/>
  <c r="AH46" i="1"/>
  <c r="AH45" i="1"/>
  <c r="AH44" i="1"/>
  <c r="AH43" i="1"/>
  <c r="AH42" i="1"/>
  <c r="AH41" i="1"/>
  <c r="AH40"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AH13" i="1"/>
  <c r="AH12" i="1"/>
  <c r="AH11" i="1"/>
  <c r="AH10" i="1"/>
  <c r="AH9" i="1"/>
  <c r="AH8" i="1"/>
  <c r="AH7" i="1"/>
  <c r="AH6" i="1"/>
  <c r="H62" i="21" l="1"/>
  <c r="T62" i="21" s="1"/>
  <c r="H43" i="21"/>
  <c r="T43" i="21" s="1"/>
  <c r="AA13" i="23"/>
  <c r="AA14" i="23" s="1"/>
  <c r="AA12" i="23"/>
  <c r="H44" i="21"/>
  <c r="T44" i="21" s="1"/>
  <c r="K4" i="23"/>
  <c r="K6" i="23" s="1"/>
  <c r="AB3" i="23" s="1"/>
  <c r="AB4" i="23" l="1"/>
  <c r="AB10" i="23" s="1"/>
  <c r="AB9" i="23"/>
  <c r="L4" i="23"/>
  <c r="L6" i="23" s="1"/>
  <c r="M42" i="11"/>
  <c r="AB13" i="23" l="1"/>
  <c r="AB14" i="23" s="1"/>
  <c r="AB12" i="23"/>
  <c r="M4" i="23"/>
  <c r="M6" i="23" s="1"/>
  <c r="AC3" i="23" s="1"/>
  <c r="M32" i="11"/>
  <c r="AC9" i="23" l="1"/>
  <c r="AC4" i="23"/>
  <c r="AC10" i="23" s="1"/>
  <c r="N4" i="23"/>
  <c r="N6" i="23" s="1"/>
  <c r="B87" i="16"/>
  <c r="B82" i="16"/>
  <c r="K154" i="1"/>
  <c r="K153" i="1"/>
  <c r="K152" i="1"/>
  <c r="B86" i="16" s="1"/>
  <c r="K151" i="1"/>
  <c r="B85" i="16" s="1"/>
  <c r="K150" i="1"/>
  <c r="B84" i="16" s="1"/>
  <c r="K149" i="1"/>
  <c r="B83" i="16" s="1"/>
  <c r="K148" i="1"/>
  <c r="BJ144" i="1"/>
  <c r="BJ142" i="1"/>
  <c r="BJ141" i="1"/>
  <c r="BJ140" i="1"/>
  <c r="BJ139" i="1"/>
  <c r="BJ138" i="1"/>
  <c r="BP137" i="1"/>
  <c r="BO137" i="1"/>
  <c r="BN137" i="1"/>
  <c r="BM137" i="1"/>
  <c r="BP136" i="1"/>
  <c r="BO136" i="1"/>
  <c r="BN136" i="1"/>
  <c r="BM136" i="1"/>
  <c r="BP135" i="1"/>
  <c r="BO135" i="1"/>
  <c r="BN135" i="1"/>
  <c r="BM135" i="1"/>
  <c r="BP134" i="1"/>
  <c r="BO134" i="1"/>
  <c r="BN134" i="1"/>
  <c r="BM134" i="1"/>
  <c r="BP133" i="1"/>
  <c r="BP132" i="1"/>
  <c r="BP131" i="1"/>
  <c r="BP130" i="1"/>
  <c r="BO130" i="1"/>
  <c r="BN130" i="1"/>
  <c r="BM130" i="1"/>
  <c r="BL130" i="1"/>
  <c r="BK130" i="1"/>
  <c r="BP127" i="1"/>
  <c r="BO127" i="1"/>
  <c r="BN127" i="1"/>
  <c r="BL127" i="1"/>
  <c r="BK127" i="1"/>
  <c r="BJ127" i="1"/>
  <c r="BP126" i="1"/>
  <c r="BO126" i="1"/>
  <c r="BN126" i="1"/>
  <c r="BM126" i="1"/>
  <c r="BK126" i="1"/>
  <c r="BJ126" i="1"/>
  <c r="BP125" i="1"/>
  <c r="BO125" i="1"/>
  <c r="BN125" i="1"/>
  <c r="BP124" i="1"/>
  <c r="BO124" i="1"/>
  <c r="BN124" i="1"/>
  <c r="BP123" i="1"/>
  <c r="BO123" i="1"/>
  <c r="BN123" i="1"/>
  <c r="BP122" i="1"/>
  <c r="BO122" i="1"/>
  <c r="BN122" i="1"/>
  <c r="BP121" i="1"/>
  <c r="BO121" i="1"/>
  <c r="BN121" i="1"/>
  <c r="BJ121" i="1"/>
  <c r="BP120" i="1"/>
  <c r="BO120" i="1"/>
  <c r="BN120" i="1"/>
  <c r="BP119" i="1"/>
  <c r="BO119" i="1"/>
  <c r="BN119" i="1"/>
  <c r="BP118" i="1"/>
  <c r="BO118" i="1"/>
  <c r="BN118" i="1"/>
  <c r="BP117" i="1"/>
  <c r="BO117" i="1"/>
  <c r="BN117" i="1"/>
  <c r="BP116" i="1"/>
  <c r="BO116" i="1"/>
  <c r="BN116" i="1"/>
  <c r="BM116" i="1"/>
  <c r="BL116" i="1"/>
  <c r="BK116" i="1"/>
  <c r="BP115" i="1"/>
  <c r="BO115" i="1"/>
  <c r="BN115" i="1"/>
  <c r="BM115" i="1"/>
  <c r="BL115" i="1"/>
  <c r="BK115" i="1"/>
  <c r="BP111" i="1"/>
  <c r="BO111" i="1"/>
  <c r="BN111" i="1"/>
  <c r="BM111" i="1"/>
  <c r="BJ111" i="1"/>
  <c r="BP110" i="1"/>
  <c r="BO110" i="1"/>
  <c r="BN110" i="1"/>
  <c r="BJ110" i="1"/>
  <c r="BP109" i="1"/>
  <c r="BO109" i="1"/>
  <c r="BN109" i="1"/>
  <c r="BM109" i="1"/>
  <c r="BL109" i="1"/>
  <c r="BK109" i="1"/>
  <c r="BP108" i="1"/>
  <c r="BO108" i="1"/>
  <c r="BN108" i="1"/>
  <c r="BM108" i="1"/>
  <c r="BL108" i="1"/>
  <c r="BK108" i="1"/>
  <c r="BP107" i="1"/>
  <c r="BO107" i="1"/>
  <c r="BN107" i="1"/>
  <c r="BM107" i="1"/>
  <c r="BL107" i="1"/>
  <c r="BK107" i="1"/>
  <c r="BP106" i="1"/>
  <c r="BO106" i="1"/>
  <c r="BN106" i="1"/>
  <c r="BM106" i="1"/>
  <c r="BL106" i="1"/>
  <c r="BK106" i="1"/>
  <c r="BP105" i="1"/>
  <c r="BO105" i="1"/>
  <c r="BN105" i="1"/>
  <c r="BM105" i="1"/>
  <c r="BL105" i="1"/>
  <c r="BK105" i="1"/>
  <c r="BP104" i="1"/>
  <c r="BO104" i="1"/>
  <c r="BN104" i="1"/>
  <c r="BM104" i="1"/>
  <c r="BJ104" i="1"/>
  <c r="BP103" i="1"/>
  <c r="BO103" i="1"/>
  <c r="BN103" i="1"/>
  <c r="BM103" i="1"/>
  <c r="BK103" i="1"/>
  <c r="BJ103" i="1"/>
  <c r="BP102" i="1"/>
  <c r="BO102" i="1"/>
  <c r="BN102" i="1"/>
  <c r="BM102" i="1"/>
  <c r="BK102" i="1"/>
  <c r="BJ102" i="1"/>
  <c r="BP101" i="1"/>
  <c r="BO101" i="1"/>
  <c r="BN101" i="1"/>
  <c r="BM101" i="1"/>
  <c r="BL101" i="1"/>
  <c r="BJ101" i="1"/>
  <c r="BP100" i="1"/>
  <c r="BO100" i="1"/>
  <c r="BN100" i="1"/>
  <c r="BM100" i="1"/>
  <c r="BL100" i="1"/>
  <c r="BJ100" i="1"/>
  <c r="BP99" i="1"/>
  <c r="BO99" i="1"/>
  <c r="BN99" i="1"/>
  <c r="BM99" i="1"/>
  <c r="BL99" i="1"/>
  <c r="BK99" i="1"/>
  <c r="BP98" i="1"/>
  <c r="BO98" i="1"/>
  <c r="BN98" i="1"/>
  <c r="BM98" i="1"/>
  <c r="BL98" i="1"/>
  <c r="BK98" i="1"/>
  <c r="BP97" i="1"/>
  <c r="BO97" i="1"/>
  <c r="BN97" i="1"/>
  <c r="BM97" i="1"/>
  <c r="BL97" i="1"/>
  <c r="BK97" i="1"/>
  <c r="BP96" i="1"/>
  <c r="BO96" i="1"/>
  <c r="BN96" i="1"/>
  <c r="BM96" i="1"/>
  <c r="BL96" i="1"/>
  <c r="BK96" i="1"/>
  <c r="BP93" i="1"/>
  <c r="BO93" i="1"/>
  <c r="BN93" i="1"/>
  <c r="BM93" i="1"/>
  <c r="BL93" i="1"/>
  <c r="BJ93" i="1"/>
  <c r="BP84" i="1"/>
  <c r="BO84" i="1"/>
  <c r="BN84" i="1"/>
  <c r="BM84" i="1"/>
  <c r="BL84" i="1"/>
  <c r="BK84" i="1"/>
  <c r="BP83" i="1"/>
  <c r="BO83" i="1"/>
  <c r="BN83" i="1"/>
  <c r="BM83" i="1"/>
  <c r="BL83" i="1"/>
  <c r="BP80" i="1"/>
  <c r="BO80" i="1"/>
  <c r="BN80" i="1"/>
  <c r="BM80" i="1"/>
  <c r="BL80" i="1"/>
  <c r="BJ80" i="1"/>
  <c r="BP79" i="1"/>
  <c r="BO79" i="1"/>
  <c r="BN79" i="1"/>
  <c r="BM79" i="1"/>
  <c r="BL79" i="1"/>
  <c r="BJ79" i="1"/>
  <c r="BP78" i="1"/>
  <c r="BO78" i="1"/>
  <c r="BN78" i="1"/>
  <c r="BM78" i="1"/>
  <c r="BL78" i="1"/>
  <c r="BJ78" i="1"/>
  <c r="BP77" i="1"/>
  <c r="BO77" i="1"/>
  <c r="BN77" i="1"/>
  <c r="BM77" i="1"/>
  <c r="BL77" i="1"/>
  <c r="BJ77" i="1"/>
  <c r="BP76" i="1"/>
  <c r="BO76" i="1"/>
  <c r="BN76" i="1"/>
  <c r="BM76" i="1"/>
  <c r="BL76" i="1"/>
  <c r="BJ76" i="1"/>
  <c r="BP75" i="1"/>
  <c r="BO75" i="1"/>
  <c r="BN75" i="1"/>
  <c r="BM75" i="1"/>
  <c r="BL75" i="1"/>
  <c r="BJ75" i="1"/>
  <c r="BP74" i="1"/>
  <c r="BO74" i="1"/>
  <c r="BN74" i="1"/>
  <c r="BM74" i="1"/>
  <c r="BL74" i="1"/>
  <c r="BJ74" i="1"/>
  <c r="BP73" i="1"/>
  <c r="BO73" i="1"/>
  <c r="BN73" i="1"/>
  <c r="BM73" i="1"/>
  <c r="BL73" i="1"/>
  <c r="BJ73" i="1"/>
  <c r="BP72" i="1"/>
  <c r="BO72" i="1"/>
  <c r="BN72" i="1"/>
  <c r="BM72" i="1"/>
  <c r="BL72" i="1"/>
  <c r="BK72" i="1"/>
  <c r="BP69" i="1"/>
  <c r="BO69" i="1"/>
  <c r="BN69" i="1"/>
  <c r="BM69" i="1"/>
  <c r="BL69" i="1"/>
  <c r="BK69" i="1"/>
  <c r="BJ69" i="1"/>
  <c r="BP68" i="1"/>
  <c r="BO68" i="1"/>
  <c r="BN68" i="1"/>
  <c r="BM68" i="1"/>
  <c r="BL68" i="1"/>
  <c r="BK68" i="1"/>
  <c r="BJ68" i="1"/>
  <c r="BP67" i="1"/>
  <c r="BO67" i="1"/>
  <c r="BN67" i="1"/>
  <c r="BM67" i="1"/>
  <c r="BL67" i="1"/>
  <c r="BK67" i="1"/>
  <c r="BJ67" i="1"/>
  <c r="BP62" i="1"/>
  <c r="BO62" i="1"/>
  <c r="BN62" i="1"/>
  <c r="BM62" i="1"/>
  <c r="BL62" i="1"/>
  <c r="BK62" i="1"/>
  <c r="BJ62" i="1"/>
  <c r="BP61" i="1"/>
  <c r="BO61" i="1"/>
  <c r="BN61" i="1"/>
  <c r="BM61" i="1"/>
  <c r="BL61" i="1"/>
  <c r="BK61" i="1"/>
  <c r="BJ61" i="1"/>
  <c r="BP60" i="1"/>
  <c r="BO60" i="1"/>
  <c r="BN60" i="1"/>
  <c r="BM60" i="1"/>
  <c r="BL60" i="1"/>
  <c r="BK60" i="1"/>
  <c r="BJ60" i="1"/>
  <c r="BP59" i="1"/>
  <c r="BO59" i="1"/>
  <c r="BN59" i="1"/>
  <c r="BM59" i="1"/>
  <c r="BL59" i="1"/>
  <c r="BK59" i="1"/>
  <c r="BJ59" i="1"/>
  <c r="BP54" i="1"/>
  <c r="BO54" i="1"/>
  <c r="BN54" i="1"/>
  <c r="BM54" i="1"/>
  <c r="BL54" i="1"/>
  <c r="BK54" i="1"/>
  <c r="BJ54" i="1"/>
  <c r="BP53" i="1"/>
  <c r="BO53" i="1"/>
  <c r="BN53" i="1"/>
  <c r="BM53" i="1"/>
  <c r="BL53" i="1"/>
  <c r="BK53" i="1"/>
  <c r="BJ53" i="1"/>
  <c r="BP52" i="1"/>
  <c r="BO52" i="1"/>
  <c r="BN52" i="1"/>
  <c r="BM52" i="1"/>
  <c r="BL52" i="1"/>
  <c r="BK52" i="1"/>
  <c r="BJ52" i="1"/>
  <c r="BP49" i="1"/>
  <c r="BP47" i="1"/>
  <c r="BP43" i="1"/>
  <c r="BO43" i="1"/>
  <c r="BN43" i="1"/>
  <c r="BM43" i="1"/>
  <c r="BL43" i="1"/>
  <c r="BJ43" i="1"/>
  <c r="BP42" i="1"/>
  <c r="BO42" i="1"/>
  <c r="BN42" i="1"/>
  <c r="BM42" i="1"/>
  <c r="BP41" i="1"/>
  <c r="BO41" i="1"/>
  <c r="BN41" i="1"/>
  <c r="BM41" i="1"/>
  <c r="BP40" i="1"/>
  <c r="BO40" i="1"/>
  <c r="BN40" i="1"/>
  <c r="BM40" i="1"/>
  <c r="BL40" i="1"/>
  <c r="BK40" i="1"/>
  <c r="BJ40" i="1"/>
  <c r="BP39" i="1"/>
  <c r="BO39" i="1"/>
  <c r="BN39" i="1"/>
  <c r="BM39" i="1"/>
  <c r="BL39" i="1"/>
  <c r="BK39" i="1"/>
  <c r="BJ39" i="1"/>
  <c r="BP38" i="1"/>
  <c r="BO38" i="1"/>
  <c r="BN38" i="1"/>
  <c r="BM38" i="1"/>
  <c r="BL38" i="1"/>
  <c r="BK38" i="1"/>
  <c r="BJ38" i="1"/>
  <c r="BP37" i="1"/>
  <c r="BO37" i="1"/>
  <c r="BN37" i="1"/>
  <c r="BM37" i="1"/>
  <c r="BL37" i="1"/>
  <c r="BK37" i="1"/>
  <c r="BJ37" i="1"/>
  <c r="BP36" i="1"/>
  <c r="BO36" i="1"/>
  <c r="BN36" i="1"/>
  <c r="BM36" i="1"/>
  <c r="BL36" i="1"/>
  <c r="BK36" i="1"/>
  <c r="BJ36" i="1"/>
  <c r="BP35" i="1"/>
  <c r="BO35" i="1"/>
  <c r="BN35" i="1"/>
  <c r="BM35" i="1"/>
  <c r="BL35" i="1"/>
  <c r="BK35" i="1"/>
  <c r="BJ35" i="1"/>
  <c r="BP34" i="1"/>
  <c r="BO34" i="1"/>
  <c r="BN34" i="1"/>
  <c r="BM34" i="1"/>
  <c r="BL34" i="1"/>
  <c r="BK34" i="1"/>
  <c r="BJ34" i="1"/>
  <c r="BP33" i="1"/>
  <c r="BO33" i="1"/>
  <c r="BN33" i="1"/>
  <c r="BM33" i="1"/>
  <c r="BL33" i="1"/>
  <c r="BK33" i="1"/>
  <c r="BJ33" i="1"/>
  <c r="BP32" i="1"/>
  <c r="BO32" i="1"/>
  <c r="BN32" i="1"/>
  <c r="BM32" i="1"/>
  <c r="BL32" i="1"/>
  <c r="BK32" i="1"/>
  <c r="BJ32" i="1"/>
  <c r="BP28" i="1"/>
  <c r="BO28" i="1"/>
  <c r="BN28" i="1"/>
  <c r="BM28" i="1"/>
  <c r="BL28" i="1"/>
  <c r="BK28" i="1"/>
  <c r="BP26" i="1"/>
  <c r="BO26" i="1"/>
  <c r="BN26" i="1"/>
  <c r="BM26" i="1"/>
  <c r="BL26" i="1"/>
  <c r="BK26" i="1"/>
  <c r="BJ26" i="1"/>
  <c r="BP25" i="1"/>
  <c r="BO25" i="1"/>
  <c r="BN25" i="1"/>
  <c r="BM25" i="1"/>
  <c r="BL25" i="1"/>
  <c r="BK25" i="1"/>
  <c r="BJ25" i="1"/>
  <c r="BP24" i="1"/>
  <c r="BO24" i="1"/>
  <c r="BN24" i="1"/>
  <c r="BM24" i="1"/>
  <c r="BL24" i="1"/>
  <c r="BK24" i="1"/>
  <c r="BJ24" i="1"/>
  <c r="BP23" i="1"/>
  <c r="BO23" i="1"/>
  <c r="BN23" i="1"/>
  <c r="BM23" i="1"/>
  <c r="BL23" i="1"/>
  <c r="BK23" i="1"/>
  <c r="BJ23" i="1"/>
  <c r="BP22" i="1"/>
  <c r="BO22" i="1"/>
  <c r="BN22" i="1"/>
  <c r="BM22" i="1"/>
  <c r="BL22" i="1"/>
  <c r="BK22" i="1"/>
  <c r="BJ22" i="1"/>
  <c r="BP21" i="1"/>
  <c r="BO21" i="1"/>
  <c r="BN21" i="1"/>
  <c r="BM21" i="1"/>
  <c r="BL21" i="1"/>
  <c r="BK21" i="1"/>
  <c r="BJ21" i="1"/>
  <c r="BP20" i="1"/>
  <c r="BO20" i="1"/>
  <c r="BN20" i="1"/>
  <c r="BM20" i="1"/>
  <c r="BL20" i="1"/>
  <c r="BK20" i="1"/>
  <c r="BJ20" i="1"/>
  <c r="BP19" i="1"/>
  <c r="BO19" i="1"/>
  <c r="BN19" i="1"/>
  <c r="BM19" i="1"/>
  <c r="BL19" i="1"/>
  <c r="BK19" i="1"/>
  <c r="BJ19" i="1"/>
  <c r="BP18" i="1"/>
  <c r="BO18" i="1"/>
  <c r="BN18" i="1"/>
  <c r="BM18" i="1"/>
  <c r="BL18" i="1"/>
  <c r="BK18" i="1"/>
  <c r="BJ18" i="1"/>
  <c r="BO14" i="1"/>
  <c r="BN14" i="1"/>
  <c r="BM14" i="1"/>
  <c r="BL14" i="1"/>
  <c r="BK14" i="1"/>
  <c r="BJ14" i="1"/>
  <c r="BO13" i="1"/>
  <c r="BN13" i="1"/>
  <c r="BM13" i="1"/>
  <c r="BL13" i="1"/>
  <c r="BK13" i="1"/>
  <c r="BJ13" i="1"/>
  <c r="BP12" i="1"/>
  <c r="BK12" i="1"/>
  <c r="BJ12" i="1"/>
  <c r="BP11" i="1"/>
  <c r="BO11" i="1"/>
  <c r="BN11" i="1"/>
  <c r="BM11" i="1"/>
  <c r="BL11" i="1"/>
  <c r="BJ11" i="1"/>
  <c r="BP10" i="1"/>
  <c r="BO10" i="1"/>
  <c r="BN10" i="1"/>
  <c r="BM10" i="1"/>
  <c r="BL10" i="1"/>
  <c r="BJ10" i="1"/>
  <c r="BP9" i="1"/>
  <c r="BO9" i="1"/>
  <c r="BN9" i="1"/>
  <c r="BM9" i="1"/>
  <c r="BL9" i="1"/>
  <c r="BJ9" i="1"/>
  <c r="BP8" i="1"/>
  <c r="BK8" i="1"/>
  <c r="BJ8" i="1"/>
  <c r="BP7" i="1"/>
  <c r="BK7" i="1"/>
  <c r="BJ7" i="1"/>
  <c r="BP6" i="1"/>
  <c r="BO6" i="1"/>
  <c r="BN6" i="1"/>
  <c r="BM6" i="1"/>
  <c r="BL6" i="1"/>
  <c r="BJ6" i="1"/>
  <c r="BP5" i="1"/>
  <c r="BO5" i="1"/>
  <c r="BN5" i="1"/>
  <c r="BM5" i="1"/>
  <c r="BL5" i="1"/>
  <c r="BK5" i="1"/>
  <c r="BJ5" i="1"/>
  <c r="AF3" i="23" l="1"/>
  <c r="AF4" i="23" s="1"/>
  <c r="AC13" i="23"/>
  <c r="AC14" i="23" s="1"/>
  <c r="AC12" i="23"/>
  <c r="O4" i="23"/>
  <c r="O6" i="23" s="1"/>
  <c r="AJ2" i="4"/>
  <c r="AI2" i="4"/>
  <c r="AH2" i="4"/>
  <c r="AG2" i="4"/>
  <c r="AF2" i="4"/>
  <c r="AC2" i="4"/>
  <c r="AB2" i="4"/>
  <c r="AA2" i="4"/>
  <c r="Z2" i="4"/>
  <c r="Y2" i="4"/>
  <c r="AD9" i="23" l="1"/>
  <c r="AB8" i="4"/>
  <c r="AB11" i="4" s="1"/>
  <c r="AF8" i="4"/>
  <c r="AF11" i="4" s="1"/>
  <c r="Y8" i="4"/>
  <c r="Y11" i="4" s="1"/>
  <c r="AC8" i="4"/>
  <c r="AC11" i="4" s="1"/>
  <c r="AG8" i="4"/>
  <c r="AG11" i="4" s="1"/>
  <c r="Z8" i="4"/>
  <c r="Z11" i="4" s="1"/>
  <c r="AD8" i="4"/>
  <c r="AD11" i="4" s="1"/>
  <c r="AH8" i="4"/>
  <c r="AH11" i="4" s="1"/>
  <c r="AA8" i="4"/>
  <c r="AA11" i="4" s="1"/>
  <c r="AE8" i="4"/>
  <c r="AE11" i="4" s="1"/>
  <c r="P4" i="23"/>
  <c r="P6" i="23" s="1"/>
  <c r="AD10" i="23" l="1"/>
  <c r="AD12" i="23"/>
  <c r="Q4" i="23"/>
  <c r="Q6" i="23" s="1"/>
  <c r="AG3" i="23" s="1"/>
  <c r="P82" i="21"/>
  <c r="P81" i="21"/>
  <c r="P80" i="21"/>
  <c r="P79" i="21"/>
  <c r="P78" i="21"/>
  <c r="P77" i="21"/>
  <c r="P76" i="21"/>
  <c r="P75" i="21"/>
  <c r="P74" i="21"/>
  <c r="P72" i="21"/>
  <c r="P71" i="21"/>
  <c r="P70" i="21"/>
  <c r="Q69" i="21"/>
  <c r="P69" i="21"/>
  <c r="O69" i="21"/>
  <c r="N69" i="21"/>
  <c r="R69" i="21" s="1"/>
  <c r="Q68" i="21"/>
  <c r="P68" i="21"/>
  <c r="O68" i="21"/>
  <c r="N68" i="21"/>
  <c r="R68" i="21" s="1"/>
  <c r="Q67" i="21"/>
  <c r="P67" i="21"/>
  <c r="O67" i="21"/>
  <c r="N67" i="21"/>
  <c r="R67" i="21" s="1"/>
  <c r="P64" i="21"/>
  <c r="P63" i="21"/>
  <c r="P62" i="21"/>
  <c r="P54" i="21"/>
  <c r="P53" i="21"/>
  <c r="P52" i="21"/>
  <c r="P51" i="21"/>
  <c r="P44" i="21"/>
  <c r="P43" i="21"/>
  <c r="P36" i="21"/>
  <c r="O36" i="21"/>
  <c r="P35" i="21"/>
  <c r="O35" i="21"/>
  <c r="P34" i="21"/>
  <c r="O34" i="21"/>
  <c r="P33" i="21"/>
  <c r="O33" i="21"/>
  <c r="P32" i="21"/>
  <c r="O32" i="21"/>
  <c r="P31" i="21"/>
  <c r="O31" i="21"/>
  <c r="P30" i="21"/>
  <c r="O30" i="21"/>
  <c r="P26" i="21"/>
  <c r="P25" i="21"/>
  <c r="P24" i="21"/>
  <c r="P23" i="21"/>
  <c r="O22" i="21"/>
  <c r="P18" i="21"/>
  <c r="P17" i="21"/>
  <c r="P15" i="21"/>
  <c r="P14" i="21"/>
  <c r="P11" i="21"/>
  <c r="P10" i="21"/>
  <c r="O10" i="21"/>
  <c r="P8" i="21"/>
  <c r="P7" i="21"/>
  <c r="P6" i="21"/>
  <c r="P5" i="21"/>
  <c r="P4" i="21"/>
  <c r="AG4" i="23" l="1"/>
  <c r="AE9" i="23"/>
  <c r="R4" i="23"/>
  <c r="R6" i="23" s="1"/>
  <c r="Q93" i="21"/>
  <c r="Q91" i="21"/>
  <c r="Q90" i="21"/>
  <c r="Q88" i="21"/>
  <c r="Q87" i="21"/>
  <c r="Q86" i="21"/>
  <c r="Q84" i="21"/>
  <c r="Q72" i="21"/>
  <c r="Q71" i="21"/>
  <c r="Q70" i="21"/>
  <c r="J27" i="1"/>
  <c r="J17" i="1"/>
  <c r="J16" i="1"/>
  <c r="J15" i="1"/>
  <c r="J131" i="1"/>
  <c r="J129" i="1"/>
  <c r="J128" i="1"/>
  <c r="J114" i="1"/>
  <c r="J113" i="1"/>
  <c r="J112" i="1"/>
  <c r="J92" i="1"/>
  <c r="J91" i="1"/>
  <c r="J82" i="1"/>
  <c r="J81" i="1"/>
  <c r="J71" i="1"/>
  <c r="J70" i="1"/>
  <c r="J66" i="1"/>
  <c r="J65" i="1"/>
  <c r="J64" i="1"/>
  <c r="J58" i="1"/>
  <c r="J57" i="1"/>
  <c r="J46" i="1"/>
  <c r="J45" i="1"/>
  <c r="J44" i="1"/>
  <c r="P9" i="21" l="1"/>
  <c r="AE12" i="23"/>
  <c r="AE10" i="23"/>
  <c r="S4" i="23"/>
  <c r="S6" i="23" s="1"/>
  <c r="AH3" i="23" s="1"/>
  <c r="Q85" i="21"/>
  <c r="I94" i="21"/>
  <c r="I89" i="21"/>
  <c r="H83" i="21"/>
  <c r="T83" i="21" s="1"/>
  <c r="I73" i="21"/>
  <c r="H73" i="21"/>
  <c r="H65" i="21"/>
  <c r="T65" i="21" s="1"/>
  <c r="H55" i="21"/>
  <c r="T55" i="21" s="1"/>
  <c r="P73" i="21" l="1"/>
  <c r="T73" i="21"/>
  <c r="Q89" i="21"/>
  <c r="AH4" i="23"/>
  <c r="AF9" i="23"/>
  <c r="T4" i="23"/>
  <c r="T6" i="23" s="1"/>
  <c r="Q73" i="21"/>
  <c r="Q94" i="21"/>
  <c r="AF12" i="23" l="1"/>
  <c r="AF10" i="23"/>
  <c r="U4" i="23"/>
  <c r="U6" i="23" s="1"/>
  <c r="AI3" i="23" s="1"/>
  <c r="B51" i="21"/>
  <c r="B38" i="21"/>
  <c r="B30" i="21"/>
  <c r="B28" i="21"/>
  <c r="B22" i="21"/>
  <c r="B10" i="21"/>
  <c r="B4" i="21"/>
  <c r="AI4" i="23" l="1"/>
  <c r="AG9" i="23"/>
  <c r="V4" i="23"/>
  <c r="I71" i="16"/>
  <c r="D70" i="16"/>
  <c r="D71" i="16" s="1"/>
  <c r="D73" i="16" s="1"/>
  <c r="C70" i="16"/>
  <c r="C71" i="16" s="1"/>
  <c r="AG12" i="23" l="1"/>
  <c r="AG10" i="23"/>
  <c r="V6" i="23"/>
  <c r="C73" i="16"/>
  <c r="AK3" i="23" l="1"/>
  <c r="AK4" i="23" s="1"/>
  <c r="AJ3" i="23"/>
  <c r="C86" i="10"/>
  <c r="C85" i="10"/>
  <c r="C19" i="10"/>
  <c r="C9" i="9"/>
  <c r="C12" i="10"/>
  <c r="D12" i="10"/>
  <c r="AH9" i="23" l="1"/>
  <c r="AJ4" i="23"/>
  <c r="AD4" i="23" s="1"/>
  <c r="AM4" i="23" s="1"/>
  <c r="F118" i="13"/>
  <c r="AH10" i="23" l="1"/>
  <c r="AH12" i="23"/>
  <c r="AI12" i="23" s="1"/>
  <c r="AD13" i="23"/>
  <c r="AD14" i="23" s="1"/>
  <c r="AI14" i="23" s="1"/>
  <c r="E134" i="13"/>
  <c r="D134" i="13"/>
  <c r="F134" i="13"/>
  <c r="C134" i="13"/>
  <c r="AI15" i="23" l="1"/>
  <c r="U141" i="1" s="1"/>
  <c r="U138" i="1"/>
  <c r="U140" i="1"/>
  <c r="U144" i="1"/>
  <c r="I3" i="16"/>
  <c r="H3" i="16"/>
  <c r="G3" i="16"/>
  <c r="F3" i="16"/>
  <c r="E3" i="16"/>
  <c r="D3" i="16"/>
  <c r="C3" i="16"/>
  <c r="L1" i="16"/>
  <c r="J3" i="16"/>
  <c r="J34" i="16" s="1"/>
  <c r="S1" i="16"/>
  <c r="R1" i="16"/>
  <c r="Q1" i="16"/>
  <c r="P1" i="16"/>
  <c r="O1" i="16"/>
  <c r="N1" i="16"/>
  <c r="M1" i="16"/>
  <c r="AD146" i="1"/>
  <c r="AC146" i="1"/>
  <c r="AB146" i="1"/>
  <c r="AA146" i="1"/>
  <c r="Z146" i="1"/>
  <c r="Y146" i="1"/>
  <c r="X146" i="1"/>
  <c r="W146" i="1"/>
  <c r="H146" i="1"/>
  <c r="E146" i="1"/>
  <c r="BG146" i="1" s="1"/>
  <c r="F146" i="1"/>
  <c r="H26" i="1"/>
  <c r="H25" i="1"/>
  <c r="H24" i="1"/>
  <c r="H164" i="1"/>
  <c r="H160" i="1"/>
  <c r="H159" i="1"/>
  <c r="H158" i="1"/>
  <c r="H157" i="1"/>
  <c r="H145" i="1"/>
  <c r="H144" i="1"/>
  <c r="H142" i="1"/>
  <c r="H141" i="1"/>
  <c r="H140" i="1"/>
  <c r="H139" i="1"/>
  <c r="H138" i="1"/>
  <c r="H137" i="1"/>
  <c r="H136" i="1"/>
  <c r="H135" i="1"/>
  <c r="H134" i="1"/>
  <c r="H133" i="1"/>
  <c r="H132" i="1"/>
  <c r="H130" i="1"/>
  <c r="H127" i="1"/>
  <c r="H126" i="1"/>
  <c r="H125" i="1"/>
  <c r="H124" i="1"/>
  <c r="H123" i="1"/>
  <c r="H122" i="1"/>
  <c r="H121" i="1"/>
  <c r="H120" i="1"/>
  <c r="H119" i="1"/>
  <c r="H118" i="1"/>
  <c r="H117" i="1"/>
  <c r="H116" i="1"/>
  <c r="H115" i="1"/>
  <c r="H111" i="1"/>
  <c r="H110" i="1"/>
  <c r="H109" i="1"/>
  <c r="H108" i="1"/>
  <c r="H107" i="1"/>
  <c r="H106" i="1"/>
  <c r="H105" i="1"/>
  <c r="H104" i="1"/>
  <c r="H103" i="1"/>
  <c r="H102" i="1"/>
  <c r="H101" i="1"/>
  <c r="H100" i="1"/>
  <c r="H99" i="1"/>
  <c r="H98" i="1"/>
  <c r="H97" i="1"/>
  <c r="H96" i="1"/>
  <c r="H93" i="1"/>
  <c r="H90" i="1"/>
  <c r="H89" i="1"/>
  <c r="H88" i="1"/>
  <c r="H87" i="1"/>
  <c r="H86" i="1"/>
  <c r="H85" i="1"/>
  <c r="H84" i="1"/>
  <c r="H83" i="1"/>
  <c r="H80" i="1"/>
  <c r="H79" i="1"/>
  <c r="H78" i="1"/>
  <c r="H77" i="1"/>
  <c r="H76" i="1"/>
  <c r="H75" i="1"/>
  <c r="H74" i="1"/>
  <c r="H73" i="1"/>
  <c r="H72" i="1"/>
  <c r="H69" i="1"/>
  <c r="H68" i="1"/>
  <c r="H67" i="1"/>
  <c r="H66" i="1"/>
  <c r="H63" i="1"/>
  <c r="H62" i="1"/>
  <c r="H61" i="1"/>
  <c r="H60" i="1"/>
  <c r="H59" i="1"/>
  <c r="H54" i="1"/>
  <c r="H53" i="1"/>
  <c r="H52" i="1"/>
  <c r="H51" i="1"/>
  <c r="H50" i="1"/>
  <c r="H49" i="1"/>
  <c r="H47" i="1"/>
  <c r="H43" i="1"/>
  <c r="H42" i="1"/>
  <c r="H41" i="1"/>
  <c r="H40" i="1"/>
  <c r="H39" i="1"/>
  <c r="H38" i="1"/>
  <c r="H37" i="1"/>
  <c r="H36" i="1"/>
  <c r="H35" i="1"/>
  <c r="H34" i="1"/>
  <c r="H33" i="1"/>
  <c r="H32" i="1"/>
  <c r="H31" i="1"/>
  <c r="H28" i="1"/>
  <c r="H23" i="1"/>
  <c r="H22" i="1"/>
  <c r="H21" i="1"/>
  <c r="H20" i="1"/>
  <c r="H19" i="1"/>
  <c r="H18" i="1"/>
  <c r="H14" i="1"/>
  <c r="H13" i="1"/>
  <c r="H12" i="1"/>
  <c r="H11" i="1"/>
  <c r="H10" i="1"/>
  <c r="H9" i="1"/>
  <c r="H8" i="1"/>
  <c r="H7" i="1"/>
  <c r="H6" i="1"/>
  <c r="H5" i="1"/>
  <c r="U142" i="1" l="1"/>
  <c r="BN146" i="1"/>
  <c r="BJ146" i="1"/>
  <c r="BM146" i="1"/>
  <c r="BL146" i="1"/>
  <c r="BO146" i="1"/>
  <c r="BK146" i="1"/>
  <c r="F34" i="16"/>
  <c r="Z3" i="16"/>
  <c r="C34" i="16"/>
  <c r="W3" i="16"/>
  <c r="G34" i="16"/>
  <c r="AA3" i="16"/>
  <c r="D34" i="16"/>
  <c r="X3" i="16"/>
  <c r="H34" i="16"/>
  <c r="AB3" i="16"/>
  <c r="E34" i="16"/>
  <c r="Y3" i="16"/>
  <c r="I34" i="16"/>
  <c r="AC3" i="16"/>
  <c r="G18" i="16"/>
  <c r="H4" i="16"/>
  <c r="H46" i="16" s="1"/>
  <c r="H10" i="16"/>
  <c r="G15" i="16"/>
  <c r="G49" i="16" s="1"/>
  <c r="I23" i="16"/>
  <c r="I17" i="16"/>
  <c r="H21" i="16"/>
  <c r="F7" i="16"/>
  <c r="I14" i="16"/>
  <c r="H28" i="16"/>
  <c r="H25" i="16"/>
  <c r="H18" i="16"/>
  <c r="I10" i="16"/>
  <c r="H15" i="16"/>
  <c r="H49" i="16" s="1"/>
  <c r="E11" i="16"/>
  <c r="G19" i="16"/>
  <c r="C26" i="16"/>
  <c r="I21" i="16"/>
  <c r="G7" i="16"/>
  <c r="C30" i="16"/>
  <c r="C42" i="16" s="1"/>
  <c r="I28" i="16"/>
  <c r="I25" i="16"/>
  <c r="I8" i="16"/>
  <c r="G4" i="16"/>
  <c r="G46" i="16" s="1"/>
  <c r="H16" i="16"/>
  <c r="G10" i="16"/>
  <c r="H20" i="16"/>
  <c r="F15" i="16"/>
  <c r="F49" i="16" s="1"/>
  <c r="G11" i="16"/>
  <c r="I13" i="16"/>
  <c r="I19" i="16"/>
  <c r="H17" i="16"/>
  <c r="F26" i="16"/>
  <c r="G21" i="16"/>
  <c r="E12" i="16"/>
  <c r="I12" i="16"/>
  <c r="I7" i="16"/>
  <c r="H14" i="16"/>
  <c r="G28" i="16"/>
  <c r="C25" i="16"/>
  <c r="G25" i="16"/>
  <c r="C4" i="16"/>
  <c r="C46" i="16" s="1"/>
  <c r="I16" i="16"/>
  <c r="I20" i="16"/>
  <c r="H11" i="16"/>
  <c r="I9" i="16"/>
  <c r="G26" i="16"/>
  <c r="F12" i="16"/>
  <c r="E14" i="16"/>
  <c r="C5" i="16"/>
  <c r="C59" i="16" s="1"/>
  <c r="E4" i="16"/>
  <c r="E46" i="16" s="1"/>
  <c r="C24" i="16"/>
  <c r="C53" i="16" s="1"/>
  <c r="C15" i="16"/>
  <c r="C49" i="16" s="1"/>
  <c r="I11" i="16"/>
  <c r="F17" i="16"/>
  <c r="H26" i="16"/>
  <c r="G12" i="16"/>
  <c r="F14" i="16"/>
  <c r="E25" i="16"/>
  <c r="D5" i="16"/>
  <c r="D59" i="16" s="1"/>
  <c r="I18" i="16"/>
  <c r="F4" i="16"/>
  <c r="F46" i="16" s="1"/>
  <c r="G16" i="16"/>
  <c r="F10" i="16"/>
  <c r="G20" i="16"/>
  <c r="E15" i="16"/>
  <c r="E49" i="16" s="1"/>
  <c r="I15" i="16"/>
  <c r="I49" i="16" s="1"/>
  <c r="F11" i="16"/>
  <c r="I6" i="16"/>
  <c r="H19" i="16"/>
  <c r="G17" i="16"/>
  <c r="E26" i="16"/>
  <c r="I26" i="16"/>
  <c r="C12" i="16"/>
  <c r="H12" i="16"/>
  <c r="H7" i="16"/>
  <c r="G14" i="16"/>
  <c r="D30" i="16"/>
  <c r="D42" i="16" s="1"/>
  <c r="F28" i="16"/>
  <c r="F25" i="16"/>
  <c r="C54" i="16" l="1"/>
  <c r="G52" i="16"/>
  <c r="H52" i="16"/>
  <c r="I47" i="16"/>
  <c r="I60" i="16"/>
  <c r="G54" i="16"/>
  <c r="I51" i="16"/>
  <c r="I48" i="16"/>
  <c r="I50" i="16"/>
  <c r="I52" i="16"/>
  <c r="I54" i="16"/>
  <c r="F54" i="16"/>
  <c r="E54" i="16"/>
  <c r="H51" i="16"/>
  <c r="G60" i="16"/>
  <c r="G51" i="16"/>
  <c r="E48" i="16"/>
  <c r="H48" i="16"/>
  <c r="G48" i="16"/>
  <c r="F48" i="16"/>
  <c r="H60" i="16"/>
  <c r="H54" i="16"/>
  <c r="I37" i="16"/>
  <c r="I38" i="16"/>
  <c r="C12" i="12"/>
  <c r="F98" i="1" l="1"/>
  <c r="F99" i="1"/>
  <c r="F100" i="1"/>
  <c r="F101" i="1"/>
  <c r="F102" i="1"/>
  <c r="F103" i="1"/>
  <c r="F104" i="1"/>
  <c r="F105" i="1"/>
  <c r="F106" i="1"/>
  <c r="F107" i="1"/>
  <c r="F108" i="1"/>
  <c r="F109" i="1"/>
  <c r="F110" i="1"/>
  <c r="F111" i="1"/>
  <c r="AC85" i="1" l="1"/>
  <c r="AC86" i="1"/>
  <c r="AC87" i="1"/>
  <c r="BP85" i="1" l="1"/>
  <c r="BL85" i="1"/>
  <c r="BO85" i="1"/>
  <c r="BJ85" i="1"/>
  <c r="BN85" i="1"/>
  <c r="BM85" i="1"/>
  <c r="BN87" i="1"/>
  <c r="BJ87" i="1"/>
  <c r="BM87" i="1"/>
  <c r="BL87" i="1"/>
  <c r="BP87" i="1"/>
  <c r="BO87" i="1"/>
  <c r="BM86" i="1"/>
  <c r="BO86" i="1"/>
  <c r="BJ86" i="1"/>
  <c r="BN86" i="1"/>
  <c r="BP86" i="1"/>
  <c r="BK86" i="1"/>
  <c r="C13" i="12"/>
  <c r="G42" i="11"/>
  <c r="F42" i="11"/>
  <c r="E42" i="11"/>
  <c r="D42" i="11"/>
  <c r="C42" i="11"/>
  <c r="G32" i="11"/>
  <c r="D15" i="12" s="1"/>
  <c r="F32" i="11"/>
  <c r="E32" i="11"/>
  <c r="D32" i="11"/>
  <c r="C32" i="11"/>
  <c r="E15" i="12" l="1"/>
  <c r="E16" i="12" s="1"/>
  <c r="E21" i="12" s="1"/>
  <c r="F15" i="12"/>
  <c r="F16" i="12" s="1"/>
  <c r="C15" i="12"/>
  <c r="C16" i="12" s="1"/>
  <c r="C21" i="12" s="1"/>
  <c r="D16" i="12"/>
  <c r="D21" i="12" s="1"/>
  <c r="E19" i="12"/>
  <c r="E22" i="12" s="1"/>
  <c r="F22" i="12"/>
  <c r="E99" i="1" l="1"/>
  <c r="BG99" i="1" s="1"/>
  <c r="E98" i="1"/>
  <c r="BG98" i="1" s="1"/>
  <c r="B259" i="2"/>
  <c r="B258" i="2"/>
  <c r="C82" i="13"/>
  <c r="C80" i="13"/>
  <c r="D82" i="13"/>
  <c r="D80" i="13"/>
  <c r="E82" i="13"/>
  <c r="E80" i="13"/>
  <c r="F84" i="13"/>
  <c r="F82" i="13"/>
  <c r="F80" i="13"/>
  <c r="Z2" i="5"/>
  <c r="Y2" i="5"/>
  <c r="X2" i="5"/>
  <c r="W2" i="5"/>
  <c r="V2" i="5"/>
  <c r="U2" i="5"/>
  <c r="T2" i="5"/>
  <c r="S2" i="5"/>
  <c r="E121" i="1" l="1"/>
  <c r="BG121" i="1" s="1"/>
  <c r="F121" i="1"/>
  <c r="B282" i="2"/>
  <c r="D282" i="2"/>
  <c r="C282" i="2"/>
  <c r="F118" i="1"/>
  <c r="E118" i="1"/>
  <c r="BG118" i="1" s="1"/>
  <c r="C279" i="2"/>
  <c r="E10" i="1"/>
  <c r="BG10" i="1" s="1"/>
  <c r="F10" i="1"/>
  <c r="D25" i="10"/>
  <c r="C25" i="10"/>
  <c r="C20" i="12"/>
  <c r="D20" i="12"/>
  <c r="O118" i="1" l="1"/>
  <c r="BM118" i="1" s="1"/>
  <c r="O121" i="1"/>
  <c r="BM121" i="1" s="1"/>
  <c r="N121" i="1"/>
  <c r="BL121" i="1" s="1"/>
  <c r="M121" i="1"/>
  <c r="BK121" i="1" s="1"/>
  <c r="L118" i="1"/>
  <c r="BJ118" i="1" s="1"/>
  <c r="M118" i="1"/>
  <c r="BK118" i="1" s="1"/>
  <c r="N118" i="1"/>
  <c r="BL118" i="1" s="1"/>
  <c r="S121" i="1" l="1"/>
  <c r="S118" i="1"/>
  <c r="AN121" i="1" l="1"/>
  <c r="AI118" i="1"/>
  <c r="AI121" i="1"/>
  <c r="AK121" i="1"/>
  <c r="AP121" i="1"/>
  <c r="AJ121" i="1"/>
  <c r="AM121" i="1"/>
  <c r="AL121" i="1"/>
  <c r="AO121" i="1"/>
  <c r="AO118" i="1"/>
  <c r="AM118" i="1"/>
  <c r="AL118" i="1"/>
  <c r="AJ118" i="1"/>
  <c r="AP118" i="1"/>
  <c r="AN118" i="1"/>
  <c r="AK118" i="1"/>
  <c r="G80" i="21" l="1"/>
  <c r="S80" i="21" s="1"/>
  <c r="G77" i="21"/>
  <c r="S77" i="21" s="1"/>
  <c r="J121" i="1"/>
  <c r="J118" i="1"/>
  <c r="AR121" i="1"/>
  <c r="AR118" i="1"/>
  <c r="B15" i="5"/>
  <c r="B13" i="5"/>
  <c r="F79" i="1"/>
  <c r="E79" i="1"/>
  <c r="BG79" i="1" s="1"/>
  <c r="F80" i="1"/>
  <c r="E80" i="1"/>
  <c r="BG80" i="1" s="1"/>
  <c r="C62" i="13"/>
  <c r="C50" i="13"/>
  <c r="C52" i="13" s="1"/>
  <c r="D221" i="2" s="1"/>
  <c r="C56" i="13"/>
  <c r="C58" i="13" s="1"/>
  <c r="D223" i="2" s="1"/>
  <c r="C53" i="13"/>
  <c r="C55" i="13" s="1"/>
  <c r="D222" i="2" s="1"/>
  <c r="O80" i="21" l="1"/>
  <c r="O77" i="21"/>
  <c r="N77" i="21"/>
  <c r="R77" i="21" s="1"/>
  <c r="I77" i="21"/>
  <c r="Q77" i="21" s="1"/>
  <c r="N80" i="21"/>
  <c r="R80" i="21" s="1"/>
  <c r="I80" i="21"/>
  <c r="Q80" i="21" s="1"/>
  <c r="B31" i="5"/>
  <c r="B30" i="5"/>
  <c r="B32" i="5"/>
  <c r="B29" i="5"/>
  <c r="B28" i="5"/>
  <c r="B27" i="5"/>
  <c r="B26" i="5"/>
  <c r="B25" i="5"/>
  <c r="B24" i="5"/>
  <c r="B23" i="5"/>
  <c r="B22" i="5"/>
  <c r="B21" i="5"/>
  <c r="B20" i="5"/>
  <c r="B19" i="5"/>
  <c r="B18" i="5"/>
  <c r="B17" i="5"/>
  <c r="B16" i="5"/>
  <c r="B14" i="5"/>
  <c r="B12" i="5"/>
  <c r="B11" i="5"/>
  <c r="B10" i="5"/>
  <c r="B9" i="5"/>
  <c r="B8" i="5"/>
  <c r="B7" i="5"/>
  <c r="B6" i="5"/>
  <c r="B5" i="5"/>
  <c r="E118" i="13" l="1"/>
  <c r="D118" i="13" s="1"/>
  <c r="C118" i="13" s="1"/>
  <c r="F137" i="1"/>
  <c r="E137" i="1"/>
  <c r="BG137" i="1" s="1"/>
  <c r="E117" i="13" l="1"/>
  <c r="D117" i="13" s="1"/>
  <c r="C117" i="13" s="1"/>
  <c r="F20" i="1" l="1"/>
  <c r="E20" i="1"/>
  <c r="BG20" i="1" s="1"/>
  <c r="F19" i="1"/>
  <c r="E19" i="1"/>
  <c r="BG19" i="1" s="1"/>
  <c r="F18" i="1"/>
  <c r="E18" i="1"/>
  <c r="BG18" i="1" s="1"/>
  <c r="R4" i="1"/>
  <c r="Q4" i="1"/>
  <c r="P4" i="1"/>
  <c r="O4" i="1"/>
  <c r="N4" i="1"/>
  <c r="M4" i="1"/>
  <c r="L4" i="1"/>
  <c r="B268" i="2" l="1"/>
  <c r="F164" i="1" l="1"/>
  <c r="E164" i="1"/>
  <c r="AD145" i="1"/>
  <c r="AC145" i="1"/>
  <c r="AB145" i="1"/>
  <c r="AA145" i="1"/>
  <c r="Z145" i="1"/>
  <c r="Y145" i="1"/>
  <c r="X145" i="1"/>
  <c r="W145" i="1"/>
  <c r="Y160" i="1"/>
  <c r="Y159" i="1"/>
  <c r="Y158" i="1"/>
  <c r="Y157" i="1"/>
  <c r="F145" i="1"/>
  <c r="E145" i="1"/>
  <c r="BG145" i="1" s="1"/>
  <c r="BP145" i="1" l="1"/>
  <c r="BK145" i="1"/>
  <c r="BJ145" i="1"/>
  <c r="D21" i="11"/>
  <c r="E21" i="11" s="1"/>
  <c r="M131" i="1" l="1"/>
  <c r="BK131" i="1" s="1"/>
  <c r="N131" i="1"/>
  <c r="BL131" i="1" s="1"/>
  <c r="O131" i="1"/>
  <c r="BM131" i="1" s="1"/>
  <c r="P131" i="1"/>
  <c r="BN131" i="1" s="1"/>
  <c r="Q131" i="1"/>
  <c r="BO131" i="1" s="1"/>
  <c r="L131" i="1"/>
  <c r="BJ131" i="1" s="1"/>
  <c r="B293" i="2"/>
  <c r="B260" i="2"/>
  <c r="B261" i="2"/>
  <c r="B262" i="2"/>
  <c r="B263" i="2"/>
  <c r="B264" i="2"/>
  <c r="B265" i="2"/>
  <c r="B266" i="2"/>
  <c r="B267" i="2"/>
  <c r="B257" i="2"/>
  <c r="B256" i="2"/>
  <c r="B218" i="2"/>
  <c r="M57" i="1"/>
  <c r="N57" i="1"/>
  <c r="O57" i="1"/>
  <c r="P57" i="1"/>
  <c r="Q57" i="1"/>
  <c r="O45" i="1"/>
  <c r="P45" i="1"/>
  <c r="Q45" i="1"/>
  <c r="O16" i="1"/>
  <c r="P16" i="1"/>
  <c r="Q16" i="1"/>
  <c r="O29" i="1"/>
  <c r="P29" i="1"/>
  <c r="Q29" i="1"/>
  <c r="B300" i="2"/>
  <c r="B299" i="2"/>
  <c r="C293" i="2"/>
  <c r="C277" i="2"/>
  <c r="C278" i="2"/>
  <c r="C280" i="2"/>
  <c r="C281" i="2"/>
  <c r="C283" i="2"/>
  <c r="C284" i="2"/>
  <c r="C285" i="2"/>
  <c r="C286" i="2"/>
  <c r="C287" i="2"/>
  <c r="C288" i="2"/>
  <c r="C276" i="2"/>
  <c r="B254" i="2"/>
  <c r="B253" i="2"/>
  <c r="C254" i="2"/>
  <c r="C253" i="2"/>
  <c r="B233" i="2"/>
  <c r="B232" i="2"/>
  <c r="C233" i="2"/>
  <c r="C232" i="2"/>
  <c r="C219" i="2"/>
  <c r="C220" i="2"/>
  <c r="C218" i="2"/>
  <c r="C142" i="2"/>
  <c r="D220" i="2" l="1"/>
  <c r="D219" i="2"/>
  <c r="D218" i="2"/>
  <c r="C31" i="2"/>
  <c r="C25" i="2"/>
  <c r="C18" i="2"/>
  <c r="C17" i="2"/>
  <c r="C22" i="2"/>
  <c r="C14" i="2"/>
  <c r="C13" i="2"/>
  <c r="B4" i="4"/>
  <c r="E4" i="4" s="1"/>
  <c r="E6" i="4" s="1"/>
  <c r="R3" i="1"/>
  <c r="Q3" i="1"/>
  <c r="P3" i="1"/>
  <c r="O3" i="1"/>
  <c r="N3" i="1"/>
  <c r="M3" i="1"/>
  <c r="L3" i="1"/>
  <c r="B235" i="2"/>
  <c r="B236" i="2"/>
  <c r="B237" i="2"/>
  <c r="B238" i="2"/>
  <c r="B239" i="2"/>
  <c r="B234" i="2"/>
  <c r="C105" i="2"/>
  <c r="D136" i="2"/>
  <c r="D135" i="2"/>
  <c r="C58" i="2"/>
  <c r="C57" i="2"/>
  <c r="B45" i="2"/>
  <c r="B46" i="2"/>
  <c r="B47" i="2"/>
  <c r="B48" i="2"/>
  <c r="B49" i="2"/>
  <c r="B44" i="2"/>
  <c r="C21" i="2"/>
  <c r="C24" i="2" s="1"/>
  <c r="C12" i="2"/>
  <c r="C125" i="13"/>
  <c r="L57" i="1" s="1"/>
  <c r="N45" i="1"/>
  <c r="D124" i="13"/>
  <c r="M45" i="1" s="1"/>
  <c r="L45" i="1"/>
  <c r="E123" i="13"/>
  <c r="N29" i="1" s="1"/>
  <c r="D123" i="13"/>
  <c r="M29" i="1" s="1"/>
  <c r="C123" i="13"/>
  <c r="L29" i="1" s="1"/>
  <c r="E122" i="13"/>
  <c r="N16" i="1" s="1"/>
  <c r="D122" i="13"/>
  <c r="M16" i="1" s="1"/>
  <c r="C122" i="13"/>
  <c r="L16" i="1" s="1"/>
  <c r="F92" i="13"/>
  <c r="E92" i="13" s="1"/>
  <c r="D92" i="13" s="1"/>
  <c r="C92" i="13" s="1"/>
  <c r="E91" i="13"/>
  <c r="D91" i="13" s="1"/>
  <c r="C91" i="13" s="1"/>
  <c r="F90" i="13"/>
  <c r="F89" i="13"/>
  <c r="E89" i="13" s="1"/>
  <c r="D89" i="13" s="1"/>
  <c r="C89" i="13" s="1"/>
  <c r="F88" i="13"/>
  <c r="F87" i="13"/>
  <c r="E87" i="13" s="1"/>
  <c r="D87" i="13" s="1"/>
  <c r="C87" i="13" s="1"/>
  <c r="C223" i="2"/>
  <c r="C222" i="2"/>
  <c r="C221" i="2"/>
  <c r="C31" i="13"/>
  <c r="C28" i="2" s="1"/>
  <c r="D53" i="12"/>
  <c r="C53" i="12" s="1"/>
  <c r="E38" i="12"/>
  <c r="C59" i="2" s="1"/>
  <c r="D38" i="12"/>
  <c r="C38" i="12"/>
  <c r="D19" i="12"/>
  <c r="D22" i="12" s="1"/>
  <c r="C19" i="12"/>
  <c r="C22" i="12" s="1"/>
  <c r="L17" i="1" l="1"/>
  <c r="C227" i="2"/>
  <c r="M79" i="1" s="1"/>
  <c r="BK79" i="1" s="1"/>
  <c r="T121" i="1"/>
  <c r="AZ121" i="1" s="1"/>
  <c r="T118" i="1"/>
  <c r="M17" i="1"/>
  <c r="N17" i="1" s="1"/>
  <c r="O17" i="1" s="1"/>
  <c r="P17" i="1" s="1"/>
  <c r="Q17" i="1" s="1"/>
  <c r="BC121" i="1" l="1"/>
  <c r="AV121" i="1"/>
  <c r="AY121" i="1"/>
  <c r="AW121" i="1"/>
  <c r="BA121" i="1"/>
  <c r="AX121" i="1"/>
  <c r="BB121" i="1"/>
  <c r="AV118" i="1"/>
  <c r="AX118" i="1"/>
  <c r="BA118" i="1"/>
  <c r="AZ118" i="1"/>
  <c r="BB118" i="1"/>
  <c r="BC118" i="1"/>
  <c r="AY118" i="1"/>
  <c r="AW118" i="1"/>
  <c r="E111" i="1"/>
  <c r="BG111" i="1" s="1"/>
  <c r="BE121" i="1" l="1"/>
  <c r="BE118" i="1"/>
  <c r="Z36" i="5"/>
  <c r="Y36" i="5"/>
  <c r="O2" i="5"/>
  <c r="O36" i="5" s="1"/>
  <c r="N2" i="5"/>
  <c r="N36" i="5" s="1"/>
  <c r="B84" i="2" l="1"/>
  <c r="E110" i="1"/>
  <c r="BG110" i="1" s="1"/>
  <c r="C32" i="10" l="1"/>
  <c r="C27" i="10"/>
  <c r="C82" i="10"/>
  <c r="C72" i="10"/>
  <c r="C70" i="10"/>
  <c r="C71" i="10"/>
  <c r="C69" i="10"/>
  <c r="C62" i="10"/>
  <c r="C61" i="10"/>
  <c r="C60" i="10"/>
  <c r="C59" i="10"/>
  <c r="D52" i="10"/>
  <c r="C52" i="10"/>
  <c r="C54" i="10" l="1"/>
  <c r="D152" i="2"/>
  <c r="D192" i="2"/>
  <c r="D206" i="2" s="1"/>
  <c r="C192" i="2"/>
  <c r="C206" i="2" s="1"/>
  <c r="C74" i="10"/>
  <c r="C75" i="10"/>
  <c r="D51" i="10"/>
  <c r="C51" i="10"/>
  <c r="C76" i="10" l="1"/>
  <c r="C44" i="10"/>
  <c r="C56" i="10" s="1"/>
  <c r="C57" i="10" s="1"/>
  <c r="C38" i="10"/>
  <c r="C37" i="10"/>
  <c r="C24" i="10"/>
  <c r="C23" i="10" l="1"/>
  <c r="D82" i="10" l="1"/>
  <c r="D70" i="10"/>
  <c r="D71" i="10"/>
  <c r="D72" i="10"/>
  <c r="D69" i="10"/>
  <c r="D60" i="10"/>
  <c r="D61" i="10"/>
  <c r="D62" i="10"/>
  <c r="D59" i="10"/>
  <c r="E52" i="10"/>
  <c r="E51" i="10"/>
  <c r="G48" i="10"/>
  <c r="G47" i="10"/>
  <c r="D38" i="10"/>
  <c r="D37" i="10"/>
  <c r="D39" i="10"/>
  <c r="D44" i="10"/>
  <c r="C39" i="10"/>
  <c r="C40" i="10" s="1"/>
  <c r="D32" i="10"/>
  <c r="D31" i="10"/>
  <c r="D24" i="10"/>
  <c r="D27" i="10"/>
  <c r="D23" i="10"/>
  <c r="D19" i="10"/>
  <c r="F43" i="9"/>
  <c r="F48" i="10" s="1"/>
  <c r="E43" i="9"/>
  <c r="E48" i="10" s="1"/>
  <c r="D43" i="9"/>
  <c r="D48" i="10" s="1"/>
  <c r="C43" i="9"/>
  <c r="C48" i="10" s="1"/>
  <c r="F42" i="9"/>
  <c r="F47" i="10" s="1"/>
  <c r="E42" i="9"/>
  <c r="E47" i="10" s="1"/>
  <c r="D42" i="9"/>
  <c r="D47" i="10" s="1"/>
  <c r="C42" i="9"/>
  <c r="C47" i="10" s="1"/>
  <c r="C29" i="9"/>
  <c r="C31" i="10" s="1"/>
  <c r="C11" i="10"/>
  <c r="C10" i="10"/>
  <c r="C14" i="10"/>
  <c r="C8" i="10"/>
  <c r="D8" i="10"/>
  <c r="C9" i="10"/>
  <c r="D9" i="10"/>
  <c r="D11" i="10"/>
  <c r="C13" i="10"/>
  <c r="D13" i="10"/>
  <c r="D14" i="10"/>
  <c r="D7" i="10"/>
  <c r="C7" i="10"/>
  <c r="D10" i="9"/>
  <c r="D10" i="10" s="1"/>
  <c r="E8" i="10" l="1"/>
  <c r="F8" i="10" s="1"/>
  <c r="C36" i="10" s="1"/>
  <c r="E13" i="10"/>
  <c r="F13" i="10" s="1"/>
  <c r="C80" i="10" s="1"/>
  <c r="C83" i="10" s="1"/>
  <c r="E11" i="10"/>
  <c r="F11" i="10" s="1"/>
  <c r="C28" i="10" s="1"/>
  <c r="E9" i="10"/>
  <c r="F9" i="10" s="1"/>
  <c r="C35" i="10" s="1"/>
  <c r="E12" i="10"/>
  <c r="F12" i="10" s="1"/>
  <c r="C66" i="10" s="1"/>
  <c r="C67" i="10" s="1"/>
  <c r="E14" i="10"/>
  <c r="F14" i="10" s="1"/>
  <c r="C81" i="10" s="1"/>
  <c r="C84" i="10" s="1"/>
  <c r="E10" i="10"/>
  <c r="F10" i="10" s="1"/>
  <c r="C29" i="10" s="1"/>
  <c r="E7" i="10"/>
  <c r="F7" i="10" s="1"/>
  <c r="C18" i="10" s="1"/>
  <c r="F86" i="1" l="1"/>
  <c r="E86" i="1"/>
  <c r="BG86" i="1" s="1"/>
  <c r="C33" i="10" l="1"/>
  <c r="AB158" i="1" l="1"/>
  <c r="F158" i="1"/>
  <c r="E158" i="1"/>
  <c r="AB160" i="1" l="1"/>
  <c r="F160" i="1"/>
  <c r="F159" i="1"/>
  <c r="F157" i="1"/>
  <c r="E160" i="1"/>
  <c r="AB159" i="1"/>
  <c r="E159" i="1"/>
  <c r="AB157" i="1"/>
  <c r="E157" i="1"/>
  <c r="E26" i="1" l="1"/>
  <c r="BG26" i="1" s="1"/>
  <c r="E25" i="1"/>
  <c r="BG25" i="1" s="1"/>
  <c r="E24" i="1"/>
  <c r="BG24" i="1" s="1"/>
  <c r="E104" i="1" l="1"/>
  <c r="BG104" i="1" s="1"/>
  <c r="E103" i="1"/>
  <c r="BG103" i="1" s="1"/>
  <c r="E105" i="1"/>
  <c r="BG105" i="1" s="1"/>
  <c r="F136" i="1"/>
  <c r="F135" i="1"/>
  <c r="F134" i="1"/>
  <c r="E136" i="1"/>
  <c r="BG136" i="1" s="1"/>
  <c r="E135" i="1"/>
  <c r="BG135" i="1" s="1"/>
  <c r="E134" i="1"/>
  <c r="BG134" i="1" s="1"/>
  <c r="E63" i="1" l="1"/>
  <c r="BG63" i="1" s="1"/>
  <c r="AC63" i="1"/>
  <c r="F63" i="1"/>
  <c r="AC62" i="1"/>
  <c r="F62" i="1"/>
  <c r="E62" i="1"/>
  <c r="BG62" i="1" s="1"/>
  <c r="R36" i="5"/>
  <c r="X36" i="5"/>
  <c r="W36" i="5"/>
  <c r="V36" i="5"/>
  <c r="U36" i="5"/>
  <c r="T36" i="5"/>
  <c r="S36" i="5"/>
  <c r="BC131" i="1"/>
  <c r="BB131" i="1"/>
  <c r="BA131" i="1"/>
  <c r="AZ131" i="1"/>
  <c r="AY131" i="1"/>
  <c r="AX131" i="1"/>
  <c r="AW131" i="1"/>
  <c r="AV131" i="1"/>
  <c r="BC129" i="1"/>
  <c r="BB129" i="1"/>
  <c r="BA129" i="1"/>
  <c r="AZ129" i="1"/>
  <c r="AY129" i="1"/>
  <c r="AX129" i="1"/>
  <c r="AW129" i="1"/>
  <c r="AV129" i="1"/>
  <c r="BC128" i="1"/>
  <c r="BB128" i="1"/>
  <c r="BA128" i="1"/>
  <c r="AZ128" i="1"/>
  <c r="AY128" i="1"/>
  <c r="AX128" i="1"/>
  <c r="AW128" i="1"/>
  <c r="AV128" i="1"/>
  <c r="BC92" i="1"/>
  <c r="BB92" i="1"/>
  <c r="BA92" i="1"/>
  <c r="AZ92" i="1"/>
  <c r="AY92" i="1"/>
  <c r="AX92" i="1"/>
  <c r="AW92" i="1"/>
  <c r="AV92" i="1"/>
  <c r="BC91" i="1"/>
  <c r="BB91" i="1"/>
  <c r="BA91" i="1"/>
  <c r="AZ91" i="1"/>
  <c r="AY91" i="1"/>
  <c r="AX91" i="1"/>
  <c r="AW91" i="1"/>
  <c r="AV91" i="1"/>
  <c r="BC71" i="1"/>
  <c r="BB71" i="1"/>
  <c r="BA71" i="1"/>
  <c r="AZ71" i="1"/>
  <c r="AY71" i="1"/>
  <c r="AX71" i="1"/>
  <c r="AW71" i="1"/>
  <c r="AV71" i="1"/>
  <c r="BC70" i="1"/>
  <c r="BB70" i="1"/>
  <c r="BA70" i="1"/>
  <c r="AZ70" i="1"/>
  <c r="AY70" i="1"/>
  <c r="AX70" i="1"/>
  <c r="AW70" i="1"/>
  <c r="AV70" i="1"/>
  <c r="BC64" i="1"/>
  <c r="BB64" i="1"/>
  <c r="BA64" i="1"/>
  <c r="AZ64" i="1"/>
  <c r="AY64" i="1"/>
  <c r="AX64" i="1"/>
  <c r="AW64" i="1"/>
  <c r="AV64" i="1"/>
  <c r="BC27" i="1"/>
  <c r="BB27" i="1"/>
  <c r="BA27" i="1"/>
  <c r="AZ27" i="1"/>
  <c r="AY27" i="1"/>
  <c r="AX27" i="1"/>
  <c r="AW27" i="1"/>
  <c r="AV27" i="1"/>
  <c r="AC53" i="1"/>
  <c r="AC40" i="1"/>
  <c r="AC37" i="1"/>
  <c r="F53" i="1"/>
  <c r="E53" i="1"/>
  <c r="BG53" i="1" s="1"/>
  <c r="F37" i="1"/>
  <c r="E37" i="1"/>
  <c r="BG37" i="1" s="1"/>
  <c r="E40" i="1"/>
  <c r="BG40" i="1" s="1"/>
  <c r="F40" i="1"/>
  <c r="G36" i="5"/>
  <c r="M2" i="5"/>
  <c r="M36" i="5" s="1"/>
  <c r="L2" i="5"/>
  <c r="L36" i="5" s="1"/>
  <c r="K2" i="5"/>
  <c r="K36" i="5" s="1"/>
  <c r="J2" i="5"/>
  <c r="J36" i="5" s="1"/>
  <c r="I2" i="5"/>
  <c r="I36" i="5" s="1"/>
  <c r="H2" i="5"/>
  <c r="H36" i="5" s="1"/>
  <c r="F4" i="5"/>
  <c r="E4" i="5"/>
  <c r="F130" i="1"/>
  <c r="F144" i="1"/>
  <c r="F142" i="1"/>
  <c r="F141" i="1"/>
  <c r="F140" i="1"/>
  <c r="F139" i="1"/>
  <c r="F138" i="1"/>
  <c r="F133" i="1"/>
  <c r="F132" i="1"/>
  <c r="F127" i="1"/>
  <c r="F126" i="1"/>
  <c r="F125" i="1"/>
  <c r="F124" i="1"/>
  <c r="F123" i="1"/>
  <c r="F122" i="1"/>
  <c r="F120" i="1"/>
  <c r="F119" i="1"/>
  <c r="F117" i="1"/>
  <c r="F116" i="1"/>
  <c r="F115" i="1"/>
  <c r="F97" i="1"/>
  <c r="F96" i="1"/>
  <c r="F93" i="1"/>
  <c r="F90" i="1"/>
  <c r="F89" i="1"/>
  <c r="F88" i="1"/>
  <c r="F87" i="1"/>
  <c r="F85" i="1"/>
  <c r="F84" i="1"/>
  <c r="F83" i="1"/>
  <c r="F78" i="1"/>
  <c r="F77" i="1"/>
  <c r="F76" i="1"/>
  <c r="F75" i="1"/>
  <c r="F74" i="1"/>
  <c r="F73" i="1"/>
  <c r="F72" i="1"/>
  <c r="F69" i="1"/>
  <c r="F68" i="1"/>
  <c r="F67" i="1"/>
  <c r="F61" i="1"/>
  <c r="F60" i="1"/>
  <c r="F59" i="1"/>
  <c r="F54" i="1"/>
  <c r="F52" i="1"/>
  <c r="F51" i="1"/>
  <c r="F50" i="1"/>
  <c r="F49" i="1"/>
  <c r="F47" i="1"/>
  <c r="F43" i="1"/>
  <c r="F42" i="1"/>
  <c r="F41" i="1"/>
  <c r="F39" i="1"/>
  <c r="F38" i="1"/>
  <c r="F36" i="1"/>
  <c r="F35" i="1"/>
  <c r="F34" i="1"/>
  <c r="F33" i="1"/>
  <c r="F32" i="1"/>
  <c r="F31" i="1"/>
  <c r="F28" i="1"/>
  <c r="F23" i="1"/>
  <c r="F22" i="1"/>
  <c r="F21" i="1"/>
  <c r="F14" i="1"/>
  <c r="F13" i="1"/>
  <c r="F12" i="1"/>
  <c r="F11" i="1"/>
  <c r="F9" i="1"/>
  <c r="F8" i="1"/>
  <c r="F7" i="1"/>
  <c r="F6" i="1"/>
  <c r="F5" i="1"/>
  <c r="BO63" i="1" l="1"/>
  <c r="BN63" i="1"/>
  <c r="BM63" i="1"/>
  <c r="BP63" i="1"/>
  <c r="Z30" i="5"/>
  <c r="V30" i="5"/>
  <c r="O30" i="5"/>
  <c r="K30" i="5"/>
  <c r="F30" i="5"/>
  <c r="T30" i="5"/>
  <c r="I30" i="5"/>
  <c r="S30" i="5"/>
  <c r="H30" i="5"/>
  <c r="Y30" i="5"/>
  <c r="U30" i="5"/>
  <c r="N30" i="5"/>
  <c r="J30" i="5"/>
  <c r="E30" i="5"/>
  <c r="X30" i="5"/>
  <c r="M30" i="5"/>
  <c r="W30" i="5"/>
  <c r="L30" i="5"/>
  <c r="BE91" i="1"/>
  <c r="BE129" i="1"/>
  <c r="BE131" i="1"/>
  <c r="BE92" i="1"/>
  <c r="BE128" i="1"/>
  <c r="BE27" i="1"/>
  <c r="BE70" i="1"/>
  <c r="BE64" i="1"/>
  <c r="BE71" i="1"/>
  <c r="AC90" i="1"/>
  <c r="AC89" i="1"/>
  <c r="AC88" i="1"/>
  <c r="BP89" i="1" l="1"/>
  <c r="BM90" i="1"/>
  <c r="BP90" i="1"/>
  <c r="BL90" i="1"/>
  <c r="BN90" i="1"/>
  <c r="BJ90" i="1"/>
  <c r="BO90" i="1"/>
  <c r="BO88" i="1"/>
  <c r="BN88" i="1"/>
  <c r="BL88" i="1"/>
  <c r="BJ88" i="1"/>
  <c r="BP88" i="1"/>
  <c r="BM88" i="1"/>
  <c r="P30" i="5"/>
  <c r="AA30" i="5"/>
  <c r="E144" i="1"/>
  <c r="BG144" i="1" s="1"/>
  <c r="C118" i="2"/>
  <c r="E140" i="1"/>
  <c r="BG140" i="1" s="1"/>
  <c r="AC54" i="1"/>
  <c r="AC52" i="1"/>
  <c r="AC50" i="1"/>
  <c r="BP50" i="1" s="1"/>
  <c r="AC39" i="1"/>
  <c r="AC38" i="1"/>
  <c r="AC36" i="1"/>
  <c r="AC35" i="1"/>
  <c r="AC34" i="1"/>
  <c r="C51" i="1"/>
  <c r="E51" i="1" s="1"/>
  <c r="BG51" i="1" s="1"/>
  <c r="C152" i="2"/>
  <c r="F152" i="2" l="1"/>
  <c r="J7" i="22"/>
  <c r="J11" i="22"/>
  <c r="C158" i="2"/>
  <c r="Y51" i="1" s="1"/>
  <c r="C159" i="2"/>
  <c r="C307" i="2" s="1"/>
  <c r="E152" i="2"/>
  <c r="N140" i="1" l="1"/>
  <c r="Q140" i="1"/>
  <c r="M140" i="1"/>
  <c r="R140" i="1"/>
  <c r="P140" i="1"/>
  <c r="O140" i="1"/>
  <c r="D158" i="2"/>
  <c r="O51" i="1"/>
  <c r="Q51" i="1"/>
  <c r="P51" i="1"/>
  <c r="AC51" i="1"/>
  <c r="C160" i="2"/>
  <c r="D307" i="2" s="1"/>
  <c r="BM51" i="1" l="1"/>
  <c r="BP51" i="1"/>
  <c r="BO51" i="1"/>
  <c r="BN51" i="1"/>
  <c r="E7" i="1"/>
  <c r="BG7" i="1" s="1"/>
  <c r="Q7" i="1" l="1"/>
  <c r="BO7" i="1" s="1"/>
  <c r="P7" i="1"/>
  <c r="BN7" i="1" s="1"/>
  <c r="O7" i="1"/>
  <c r="BM7" i="1" s="1"/>
  <c r="N7" i="1"/>
  <c r="BL7" i="1" s="1"/>
  <c r="C23" i="2"/>
  <c r="S95" i="1"/>
  <c r="S94" i="1"/>
  <c r="AC68" i="1"/>
  <c r="AC67" i="1"/>
  <c r="AC69" i="1"/>
  <c r="E69" i="1"/>
  <c r="BG69" i="1" s="1"/>
  <c r="E36" i="1"/>
  <c r="BG36" i="1" s="1"/>
  <c r="E35" i="1"/>
  <c r="BG35" i="1" s="1"/>
  <c r="AC61" i="1"/>
  <c r="AC60" i="1"/>
  <c r="AC59" i="1"/>
  <c r="E61" i="1"/>
  <c r="BG61" i="1" s="1"/>
  <c r="AP95" i="1" l="1"/>
  <c r="AL95" i="1"/>
  <c r="AK95" i="1"/>
  <c r="AN95" i="1"/>
  <c r="AM95" i="1"/>
  <c r="AJ95" i="1"/>
  <c r="AI95" i="1"/>
  <c r="AO95" i="1"/>
  <c r="AP94" i="1"/>
  <c r="AL94" i="1"/>
  <c r="AN94" i="1"/>
  <c r="AI94" i="1"/>
  <c r="AO94" i="1"/>
  <c r="AM94" i="1"/>
  <c r="AK94" i="1"/>
  <c r="AJ94" i="1"/>
  <c r="S7" i="1"/>
  <c r="J95" i="1" l="1"/>
  <c r="J94" i="1"/>
  <c r="AR94" i="1"/>
  <c r="AR95" i="1"/>
  <c r="AO7" i="1"/>
  <c r="AK7" i="1"/>
  <c r="AM7" i="1"/>
  <c r="AL7" i="1"/>
  <c r="AP7" i="1"/>
  <c r="AJ7" i="1"/>
  <c r="AN7" i="1"/>
  <c r="AI7" i="1"/>
  <c r="T7" i="1"/>
  <c r="T94" i="1"/>
  <c r="T95" i="1"/>
  <c r="J7" i="1" l="1"/>
  <c r="BC7" i="1"/>
  <c r="AY7" i="1"/>
  <c r="AZ7" i="1"/>
  <c r="AX7" i="1"/>
  <c r="BA7" i="1"/>
  <c r="AW7" i="1"/>
  <c r="AV7" i="1"/>
  <c r="BB7" i="1"/>
  <c r="BA95" i="1"/>
  <c r="AW95" i="1"/>
  <c r="BB95" i="1"/>
  <c r="AV95" i="1"/>
  <c r="AZ95" i="1"/>
  <c r="AY95" i="1"/>
  <c r="BC95" i="1"/>
  <c r="AX95" i="1"/>
  <c r="BB94" i="1"/>
  <c r="AX94" i="1"/>
  <c r="AZ94" i="1"/>
  <c r="BC94" i="1"/>
  <c r="AV94" i="1"/>
  <c r="BA94" i="1"/>
  <c r="AY94" i="1"/>
  <c r="AW94" i="1"/>
  <c r="AR7" i="1"/>
  <c r="E133" i="1"/>
  <c r="BG133" i="1" s="1"/>
  <c r="E132" i="1"/>
  <c r="BG132" i="1" s="1"/>
  <c r="E39" i="1"/>
  <c r="BG39" i="1" s="1"/>
  <c r="E42" i="1"/>
  <c r="BG42" i="1" s="1"/>
  <c r="E41" i="1"/>
  <c r="BG41" i="1" s="1"/>
  <c r="BE7" i="1" l="1"/>
  <c r="BE94" i="1"/>
  <c r="BE95" i="1"/>
  <c r="E68" i="1"/>
  <c r="BG68" i="1" s="1"/>
  <c r="E60" i="1"/>
  <c r="BG60" i="1" s="1"/>
  <c r="E38" i="1"/>
  <c r="BG38" i="1" s="1"/>
  <c r="E54" i="1"/>
  <c r="BG54" i="1" s="1"/>
  <c r="D150" i="2"/>
  <c r="D147" i="2"/>
  <c r="E88" i="1"/>
  <c r="BG88" i="1" s="1"/>
  <c r="E87" i="1"/>
  <c r="BG87" i="1" s="1"/>
  <c r="C89" i="1"/>
  <c r="E89" i="1" s="1"/>
  <c r="BG89" i="1" s="1"/>
  <c r="C138" i="2"/>
  <c r="C101" i="2" l="1"/>
  <c r="Y3" i="4" l="1"/>
  <c r="Y9" i="4" s="1"/>
  <c r="Y12" i="4" l="1"/>
  <c r="Y13" i="4"/>
  <c r="Y14" i="4" s="1"/>
  <c r="C52" i="1"/>
  <c r="C162" i="2"/>
  <c r="C50" i="1"/>
  <c r="E50" i="1" s="1"/>
  <c r="BG50" i="1" s="1"/>
  <c r="D151" i="2"/>
  <c r="C151" i="2"/>
  <c r="F151" i="2" l="1"/>
  <c r="E151" i="2"/>
  <c r="C87" i="2"/>
  <c r="Q50" i="1" l="1"/>
  <c r="BO50" i="1" s="1"/>
  <c r="O50" i="1"/>
  <c r="BM50" i="1" s="1"/>
  <c r="P50" i="1"/>
  <c r="BN50" i="1" s="1"/>
  <c r="D205" i="2"/>
  <c r="C205" i="2"/>
  <c r="C173" i="2"/>
  <c r="C54" i="2"/>
  <c r="C130" i="1" l="1"/>
  <c r="E130" i="1" s="1"/>
  <c r="BG130" i="1" s="1"/>
  <c r="L130" i="1"/>
  <c r="BJ130" i="1" s="1"/>
  <c r="E116" i="1"/>
  <c r="BG116" i="1" s="1"/>
  <c r="E115" i="1"/>
  <c r="BG115" i="1" s="1"/>
  <c r="L116" i="1"/>
  <c r="BJ116" i="1" s="1"/>
  <c r="L115" i="1"/>
  <c r="BJ115" i="1" s="1"/>
  <c r="E97" i="1"/>
  <c r="BG97" i="1" s="1"/>
  <c r="E96" i="1"/>
  <c r="BG96" i="1" s="1"/>
  <c r="L97" i="1"/>
  <c r="BJ97" i="1" s="1"/>
  <c r="L96" i="1"/>
  <c r="BJ96" i="1" s="1"/>
  <c r="E83" i="1"/>
  <c r="BG83" i="1" s="1"/>
  <c r="C90" i="1"/>
  <c r="L84" i="1"/>
  <c r="L83" i="1"/>
  <c r="BJ83" i="1" s="1"/>
  <c r="C14" i="16" l="1"/>
  <c r="BJ84" i="1"/>
  <c r="S96" i="1"/>
  <c r="T96" i="1"/>
  <c r="S116" i="1"/>
  <c r="T116" i="1"/>
  <c r="S130" i="1"/>
  <c r="T130" i="1"/>
  <c r="S84" i="1"/>
  <c r="T84" i="1"/>
  <c r="S97" i="1"/>
  <c r="T97" i="1"/>
  <c r="S115" i="1"/>
  <c r="T115" i="1"/>
  <c r="BC97" i="1" l="1"/>
  <c r="AY97" i="1"/>
  <c r="AZ97" i="1"/>
  <c r="AW97" i="1"/>
  <c r="BB97" i="1"/>
  <c r="AV97" i="1"/>
  <c r="BA97" i="1"/>
  <c r="AX97" i="1"/>
  <c r="BC116" i="1"/>
  <c r="AY116" i="1"/>
  <c r="BA116" i="1"/>
  <c r="AV116" i="1"/>
  <c r="AW116" i="1"/>
  <c r="BB116" i="1"/>
  <c r="AX116" i="1"/>
  <c r="AZ116" i="1"/>
  <c r="AZ115" i="1"/>
  <c r="AV115" i="1"/>
  <c r="AY115" i="1"/>
  <c r="AX115" i="1"/>
  <c r="BC115" i="1"/>
  <c r="AW115" i="1"/>
  <c r="BB115" i="1"/>
  <c r="BA115" i="1"/>
  <c r="BB84" i="1"/>
  <c r="AX84" i="1"/>
  <c r="AY84" i="1"/>
  <c r="BC84" i="1"/>
  <c r="AW84" i="1"/>
  <c r="BA84" i="1"/>
  <c r="AZ84" i="1"/>
  <c r="AV84" i="1"/>
  <c r="BC130" i="1"/>
  <c r="AY130" i="1"/>
  <c r="AX130" i="1"/>
  <c r="BA130" i="1"/>
  <c r="AZ130" i="1"/>
  <c r="AW130" i="1"/>
  <c r="BB130" i="1"/>
  <c r="AV130" i="1"/>
  <c r="AZ96" i="1"/>
  <c r="AV96" i="1"/>
  <c r="BC96" i="1"/>
  <c r="AX96" i="1"/>
  <c r="AY96" i="1"/>
  <c r="AW96" i="1"/>
  <c r="BB96" i="1"/>
  <c r="BA96" i="1"/>
  <c r="AP97" i="1"/>
  <c r="AL97" i="1"/>
  <c r="AK97" i="1"/>
  <c r="AM97" i="1"/>
  <c r="AJ97" i="1"/>
  <c r="AI97" i="1"/>
  <c r="AO97" i="1"/>
  <c r="AN97" i="1"/>
  <c r="AP116" i="1"/>
  <c r="AL116" i="1"/>
  <c r="AN116" i="1"/>
  <c r="AI116" i="1"/>
  <c r="AK116" i="1"/>
  <c r="AJ116" i="1"/>
  <c r="AO116" i="1"/>
  <c r="AM116" i="1"/>
  <c r="AP115" i="1"/>
  <c r="AL115" i="1"/>
  <c r="AK115" i="1"/>
  <c r="AM115" i="1"/>
  <c r="AJ115" i="1"/>
  <c r="AO115" i="1"/>
  <c r="AN115" i="1"/>
  <c r="AI115" i="1"/>
  <c r="AP84" i="1"/>
  <c r="AL84" i="1"/>
  <c r="AK84" i="1"/>
  <c r="AN84" i="1"/>
  <c r="AI84" i="1"/>
  <c r="AO84" i="1"/>
  <c r="AM84" i="1"/>
  <c r="AJ84" i="1"/>
  <c r="AP130" i="1"/>
  <c r="AL130" i="1"/>
  <c r="AN130" i="1"/>
  <c r="AI130" i="1"/>
  <c r="AJ130" i="1"/>
  <c r="AO130" i="1"/>
  <c r="AM130" i="1"/>
  <c r="AK130" i="1"/>
  <c r="AP96" i="1"/>
  <c r="AL96" i="1"/>
  <c r="AN96" i="1"/>
  <c r="AI96" i="1"/>
  <c r="AM96" i="1"/>
  <c r="AK96" i="1"/>
  <c r="AO96" i="1"/>
  <c r="AJ96" i="1"/>
  <c r="L72" i="1"/>
  <c r="C72" i="1"/>
  <c r="E72" i="1" s="1"/>
  <c r="BG72" i="1" s="1"/>
  <c r="H38" i="21" l="1"/>
  <c r="T38" i="21" s="1"/>
  <c r="H39" i="21"/>
  <c r="T39" i="21" s="1"/>
  <c r="H84" i="21"/>
  <c r="T84" i="21" s="1"/>
  <c r="G39" i="21"/>
  <c r="S39" i="21" s="1"/>
  <c r="G38" i="21"/>
  <c r="S38" i="21" s="1"/>
  <c r="G84" i="21"/>
  <c r="S84" i="21" s="1"/>
  <c r="G74" i="21"/>
  <c r="S74" i="21" s="1"/>
  <c r="G75" i="21"/>
  <c r="S75" i="21" s="1"/>
  <c r="C11" i="16"/>
  <c r="C48" i="16" s="1"/>
  <c r="BJ72" i="1"/>
  <c r="J84" i="1"/>
  <c r="J96" i="1"/>
  <c r="J130" i="1"/>
  <c r="J115" i="1"/>
  <c r="J116" i="1"/>
  <c r="J97" i="1"/>
  <c r="BE84" i="1"/>
  <c r="BE97" i="1"/>
  <c r="BE96" i="1"/>
  <c r="AR84" i="1"/>
  <c r="BE130" i="1"/>
  <c r="BE115" i="1"/>
  <c r="BE116" i="1"/>
  <c r="AR96" i="1"/>
  <c r="AR130" i="1"/>
  <c r="AR115" i="1"/>
  <c r="AR116" i="1"/>
  <c r="AR97" i="1"/>
  <c r="S72" i="1"/>
  <c r="T72" i="1"/>
  <c r="C84" i="2"/>
  <c r="E107" i="1"/>
  <c r="BG107" i="1" s="1"/>
  <c r="E106" i="1"/>
  <c r="BG106" i="1" s="1"/>
  <c r="P38" i="21" l="1"/>
  <c r="P39" i="21"/>
  <c r="O75" i="21"/>
  <c r="O84" i="21"/>
  <c r="O39" i="21"/>
  <c r="P84" i="21"/>
  <c r="O74" i="21"/>
  <c r="O38" i="21"/>
  <c r="N31" i="21"/>
  <c r="R31" i="21" s="1"/>
  <c r="I31" i="21"/>
  <c r="Q31" i="21" s="1"/>
  <c r="N74" i="21"/>
  <c r="R74" i="21" s="1"/>
  <c r="I74" i="21"/>
  <c r="N39" i="21"/>
  <c r="R39" i="21" s="1"/>
  <c r="I39" i="21"/>
  <c r="Q39" i="21" s="1"/>
  <c r="N38" i="21"/>
  <c r="R38" i="21" s="1"/>
  <c r="I38" i="21"/>
  <c r="N84" i="21"/>
  <c r="R84" i="21" s="1"/>
  <c r="N75" i="21"/>
  <c r="R75" i="21" s="1"/>
  <c r="I75" i="21"/>
  <c r="Q75" i="21" s="1"/>
  <c r="AZ72" i="1"/>
  <c r="AV72" i="1"/>
  <c r="AY72" i="1"/>
  <c r="BC72" i="1"/>
  <c r="AX72" i="1"/>
  <c r="BB72" i="1"/>
  <c r="BA72" i="1"/>
  <c r="AW72" i="1"/>
  <c r="AP72" i="1"/>
  <c r="AL72" i="1"/>
  <c r="AK72" i="1"/>
  <c r="AO72" i="1"/>
  <c r="AI72" i="1"/>
  <c r="AN72" i="1"/>
  <c r="AM72" i="1"/>
  <c r="AJ72" i="1"/>
  <c r="C28" i="1"/>
  <c r="E28" i="1" s="1"/>
  <c r="BG28" i="1" s="1"/>
  <c r="L28" i="1"/>
  <c r="BJ28" i="1" s="1"/>
  <c r="E142" i="1"/>
  <c r="BG142" i="1" s="1"/>
  <c r="E141" i="1"/>
  <c r="BG141" i="1" s="1"/>
  <c r="E139" i="1"/>
  <c r="BG139" i="1" s="1"/>
  <c r="E138" i="1"/>
  <c r="BG138" i="1" s="1"/>
  <c r="H22" i="21" l="1"/>
  <c r="T22" i="21" s="1"/>
  <c r="Q38" i="21"/>
  <c r="Q74" i="21"/>
  <c r="J72" i="1"/>
  <c r="BE72" i="1"/>
  <c r="AR72" i="1"/>
  <c r="N22" i="21" s="1"/>
  <c r="R22" i="21" s="1"/>
  <c r="S28" i="1"/>
  <c r="T28" i="1"/>
  <c r="F4" i="4"/>
  <c r="F6" i="4" s="1"/>
  <c r="H27" i="21" l="1"/>
  <c r="T27" i="21" s="1"/>
  <c r="P22" i="21"/>
  <c r="I22" i="21"/>
  <c r="G4" i="4"/>
  <c r="G6" i="4" s="1"/>
  <c r="BA28" i="1"/>
  <c r="AW28" i="1"/>
  <c r="AZ28" i="1"/>
  <c r="AY28" i="1"/>
  <c r="AV28" i="1"/>
  <c r="BC28" i="1"/>
  <c r="BB28" i="1"/>
  <c r="AX28" i="1"/>
  <c r="AO28" i="1"/>
  <c r="AK28" i="1"/>
  <c r="AM28" i="1"/>
  <c r="AL28" i="1"/>
  <c r="AP28" i="1"/>
  <c r="AJ28" i="1"/>
  <c r="AN28" i="1"/>
  <c r="AI28" i="1"/>
  <c r="E23" i="1"/>
  <c r="BG23" i="1" s="1"/>
  <c r="E22" i="1"/>
  <c r="BG22" i="1" s="1"/>
  <c r="Q22" i="21" l="1"/>
  <c r="J28" i="1"/>
  <c r="Y4" i="4"/>
  <c r="Y10" i="4" s="1"/>
  <c r="H4" i="4"/>
  <c r="H6" i="4" s="1"/>
  <c r="Z3" i="4"/>
  <c r="Z9" i="4" s="1"/>
  <c r="BE28" i="1"/>
  <c r="AR28" i="1"/>
  <c r="E21" i="1"/>
  <c r="BG21" i="1" s="1"/>
  <c r="E9" i="2"/>
  <c r="C166" i="2"/>
  <c r="D111" i="2"/>
  <c r="C108" i="2"/>
  <c r="C88" i="2"/>
  <c r="C86" i="2"/>
  <c r="C191" i="2"/>
  <c r="E5" i="1"/>
  <c r="N10" i="21" l="1"/>
  <c r="R10" i="21" s="1"/>
  <c r="I10" i="21"/>
  <c r="Z12" i="4"/>
  <c r="Z13" i="4"/>
  <c r="Z14" i="4" s="1"/>
  <c r="C49" i="2"/>
  <c r="C91" i="2"/>
  <c r="C92" i="2" s="1"/>
  <c r="J14" i="22" s="1"/>
  <c r="C38" i="2"/>
  <c r="C39" i="2"/>
  <c r="C37" i="2"/>
  <c r="C35" i="2"/>
  <c r="C267" i="2"/>
  <c r="C263" i="2"/>
  <c r="C259" i="2"/>
  <c r="C261" i="2"/>
  <c r="C264" i="2"/>
  <c r="C266" i="2"/>
  <c r="C262" i="2"/>
  <c r="C258" i="2"/>
  <c r="C265" i="2"/>
  <c r="C268" i="2"/>
  <c r="C260" i="2"/>
  <c r="C76" i="2"/>
  <c r="C77" i="2" s="1"/>
  <c r="C299" i="2"/>
  <c r="C257" i="2"/>
  <c r="C256" i="2"/>
  <c r="C300" i="2"/>
  <c r="C249" i="2"/>
  <c r="C182" i="2"/>
  <c r="C181" i="2"/>
  <c r="D115" i="2"/>
  <c r="C70" i="2"/>
  <c r="C224" i="2"/>
  <c r="C242" i="2"/>
  <c r="C236" i="2" s="1"/>
  <c r="C45" i="2"/>
  <c r="C211" i="2"/>
  <c r="C212" i="2" s="1"/>
  <c r="C112" i="2"/>
  <c r="C129" i="2"/>
  <c r="C272" i="2"/>
  <c r="C270" i="2" s="1"/>
  <c r="C115" i="2"/>
  <c r="C69" i="2"/>
  <c r="C245" i="2"/>
  <c r="C239" i="2" s="1"/>
  <c r="C241" i="2"/>
  <c r="C235" i="2" s="1"/>
  <c r="C48" i="2"/>
  <c r="C44" i="2"/>
  <c r="C178" i="2"/>
  <c r="C179" i="2" s="1"/>
  <c r="D190" i="2"/>
  <c r="D204" i="2" s="1"/>
  <c r="D207" i="2" s="1"/>
  <c r="C128" i="2"/>
  <c r="D194" i="2"/>
  <c r="D94" i="2"/>
  <c r="C68" i="2"/>
  <c r="C244" i="2"/>
  <c r="C238" i="2" s="1"/>
  <c r="C234" i="2"/>
  <c r="C47" i="2"/>
  <c r="F211" i="2"/>
  <c r="F212" i="2" s="1"/>
  <c r="C53" i="2"/>
  <c r="C190" i="2"/>
  <c r="C127" i="2"/>
  <c r="C169" i="2"/>
  <c r="C94" i="2"/>
  <c r="C194" i="2"/>
  <c r="C243" i="2"/>
  <c r="C237" i="2" s="1"/>
  <c r="C46" i="2"/>
  <c r="C106" i="2" s="1"/>
  <c r="F178" i="2"/>
  <c r="F179" i="2" s="1"/>
  <c r="D112" i="2"/>
  <c r="C167" i="2"/>
  <c r="J3" i="22" s="1"/>
  <c r="I4" i="4"/>
  <c r="I6" i="4" s="1"/>
  <c r="C29" i="2"/>
  <c r="B1" i="1"/>
  <c r="C150" i="2"/>
  <c r="C147" i="2"/>
  <c r="C149" i="2" s="1"/>
  <c r="D191" i="2"/>
  <c r="C111" i="2"/>
  <c r="Q10" i="21" l="1"/>
  <c r="B1" i="22"/>
  <c r="J5" i="22"/>
  <c r="J9" i="22"/>
  <c r="C204" i="2"/>
  <c r="C207" i="2" s="1"/>
  <c r="C208" i="2" s="1"/>
  <c r="J6" i="22"/>
  <c r="J17" i="22"/>
  <c r="BK140" i="1"/>
  <c r="Z4" i="4"/>
  <c r="Z10" i="4" s="1"/>
  <c r="D91" i="2"/>
  <c r="D97" i="2" s="1"/>
  <c r="D118" i="2"/>
  <c r="L105" i="1"/>
  <c r="N69" i="1"/>
  <c r="N160" i="1" s="1"/>
  <c r="E69" i="16" s="1"/>
  <c r="M101" i="1"/>
  <c r="BK101" i="1" s="1"/>
  <c r="M90" i="1"/>
  <c r="D300" i="2"/>
  <c r="L137" i="1" s="1"/>
  <c r="L107" i="1"/>
  <c r="L109" i="1"/>
  <c r="N86" i="1"/>
  <c r="M87" i="1"/>
  <c r="L98" i="1"/>
  <c r="M100" i="1"/>
  <c r="BK100" i="1" s="1"/>
  <c r="C36" i="2"/>
  <c r="L99" i="1"/>
  <c r="D299" i="2"/>
  <c r="N136" i="1" s="1"/>
  <c r="BL136" i="1" s="1"/>
  <c r="L108" i="1"/>
  <c r="M88" i="1"/>
  <c r="N61" i="1"/>
  <c r="N159" i="1" s="1"/>
  <c r="E68" i="16" s="1"/>
  <c r="L106" i="1"/>
  <c r="P12" i="1"/>
  <c r="BN12" i="1" s="1"/>
  <c r="Y142" i="1"/>
  <c r="Z142" i="1" s="1"/>
  <c r="Y138" i="1"/>
  <c r="Z138" i="1" s="1"/>
  <c r="Y141" i="1"/>
  <c r="Z141" i="1" s="1"/>
  <c r="Y140" i="1"/>
  <c r="Z140" i="1" s="1"/>
  <c r="Y139" i="1"/>
  <c r="B1" i="5"/>
  <c r="A1" i="16"/>
  <c r="Q12" i="1"/>
  <c r="BO12" i="1" s="1"/>
  <c r="C40" i="2"/>
  <c r="C225" i="2"/>
  <c r="D225" i="2"/>
  <c r="C228" i="2" s="1"/>
  <c r="Q69" i="1"/>
  <c r="Q160" i="1" s="1"/>
  <c r="H69" i="16" s="1"/>
  <c r="Q61" i="1"/>
  <c r="Q159" i="1" s="1"/>
  <c r="H68" i="16" s="1"/>
  <c r="J4" i="4"/>
  <c r="J6" i="4" s="1"/>
  <c r="AA3" i="4"/>
  <c r="AA9" i="4" s="1"/>
  <c r="N111" i="1"/>
  <c r="BL111" i="1" s="1"/>
  <c r="M111" i="1"/>
  <c r="BK111" i="1" s="1"/>
  <c r="M104" i="1"/>
  <c r="BK104" i="1" s="1"/>
  <c r="N104" i="1"/>
  <c r="BL104" i="1" s="1"/>
  <c r="N102" i="1"/>
  <c r="BL102" i="1" s="1"/>
  <c r="N103" i="1"/>
  <c r="BL103" i="1" s="1"/>
  <c r="N110" i="1"/>
  <c r="BL110" i="1" s="1"/>
  <c r="M110" i="1"/>
  <c r="BK110" i="1" s="1"/>
  <c r="O110" i="1"/>
  <c r="P89" i="1"/>
  <c r="O89" i="1"/>
  <c r="Q89" i="1"/>
  <c r="M135" i="1"/>
  <c r="BK135" i="1" s="1"/>
  <c r="N135" i="1"/>
  <c r="BL135" i="1" s="1"/>
  <c r="L135" i="1"/>
  <c r="BJ135" i="1" s="1"/>
  <c r="C78" i="2"/>
  <c r="C79" i="2"/>
  <c r="C80" i="2"/>
  <c r="L134" i="1"/>
  <c r="BJ134" i="1" s="1"/>
  <c r="N134" i="1"/>
  <c r="BL134" i="1" s="1"/>
  <c r="M134" i="1"/>
  <c r="BK134" i="1" s="1"/>
  <c r="M83" i="1"/>
  <c r="BK83" i="1" s="1"/>
  <c r="C183" i="2"/>
  <c r="E212" i="2"/>
  <c r="D212" i="2"/>
  <c r="D179" i="2"/>
  <c r="E179" i="2"/>
  <c r="C55" i="2"/>
  <c r="C63" i="2" s="1"/>
  <c r="D62" i="2"/>
  <c r="D64" i="2"/>
  <c r="C74" i="2"/>
  <c r="D63" i="2"/>
  <c r="E135" i="2"/>
  <c r="E136" i="2"/>
  <c r="C200" i="2"/>
  <c r="C193" i="2"/>
  <c r="C195" i="2" s="1"/>
  <c r="C174" i="2"/>
  <c r="C175" i="2"/>
  <c r="F147" i="2"/>
  <c r="C154" i="2" s="1"/>
  <c r="E147" i="2"/>
  <c r="E149" i="2" s="1"/>
  <c r="E150" i="2"/>
  <c r="F150" i="2"/>
  <c r="C155" i="2" s="1"/>
  <c r="N89" i="1"/>
  <c r="BL89" i="1" s="1"/>
  <c r="M89" i="1"/>
  <c r="BK89" i="1" s="1"/>
  <c r="D193" i="2"/>
  <c r="D195" i="2" s="1"/>
  <c r="E14" i="1"/>
  <c r="BG14" i="1" s="1"/>
  <c r="C15" i="2"/>
  <c r="C32" i="2" s="1"/>
  <c r="D149" i="2" l="1"/>
  <c r="N48" i="1"/>
  <c r="BL48" i="1" s="1"/>
  <c r="P48" i="1"/>
  <c r="BN48" i="1" s="1"/>
  <c r="L48" i="1"/>
  <c r="O48" i="1"/>
  <c r="BM48" i="1" s="1"/>
  <c r="Q48" i="1"/>
  <c r="BO48" i="1" s="1"/>
  <c r="M48" i="1"/>
  <c r="BK48" i="1" s="1"/>
  <c r="C97" i="2"/>
  <c r="AA13" i="4"/>
  <c r="AA14" i="4" s="1"/>
  <c r="AA12" i="4"/>
  <c r="Z139" i="1"/>
  <c r="Y143" i="1"/>
  <c r="Z143" i="1" s="1"/>
  <c r="C28" i="16"/>
  <c r="BJ137" i="1"/>
  <c r="F16" i="16"/>
  <c r="F51" i="16" s="1"/>
  <c r="BM110" i="1"/>
  <c r="D14" i="16"/>
  <c r="BK88" i="1"/>
  <c r="S86" i="1"/>
  <c r="AO86" i="1" s="1"/>
  <c r="BL86" i="1"/>
  <c r="S90" i="1"/>
  <c r="AL90" i="1" s="1"/>
  <c r="BK90" i="1"/>
  <c r="F13" i="16"/>
  <c r="F50" i="16" s="1"/>
  <c r="BM89" i="1"/>
  <c r="G13" i="16"/>
  <c r="G50" i="16" s="1"/>
  <c r="BN89" i="1"/>
  <c r="S99" i="1"/>
  <c r="AJ99" i="1" s="1"/>
  <c r="BJ99" i="1"/>
  <c r="S87" i="1"/>
  <c r="AK87" i="1" s="1"/>
  <c r="BK87" i="1"/>
  <c r="T105" i="1"/>
  <c r="AX105" i="1" s="1"/>
  <c r="BE105" i="1" s="1"/>
  <c r="BJ105" i="1"/>
  <c r="H13" i="16"/>
  <c r="H50" i="16" s="1"/>
  <c r="BO89" i="1"/>
  <c r="S108" i="1"/>
  <c r="AJ108" i="1" s="1"/>
  <c r="BJ108" i="1"/>
  <c r="S109" i="1"/>
  <c r="AJ109" i="1" s="1"/>
  <c r="BJ109" i="1"/>
  <c r="S106" i="1"/>
  <c r="AP106" i="1" s="1"/>
  <c r="BJ106" i="1"/>
  <c r="T98" i="1"/>
  <c r="BA98" i="1" s="1"/>
  <c r="BJ98" i="1"/>
  <c r="T107" i="1"/>
  <c r="BB107" i="1" s="1"/>
  <c r="BJ107" i="1"/>
  <c r="D92" i="2"/>
  <c r="D93" i="2" s="1"/>
  <c r="D95" i="2" s="1"/>
  <c r="D96" i="2" s="1"/>
  <c r="D98" i="2" s="1"/>
  <c r="T99" i="1"/>
  <c r="AV99" i="1" s="1"/>
  <c r="S107" i="1"/>
  <c r="AI107" i="1" s="1"/>
  <c r="C198" i="2"/>
  <c r="C199" i="2" s="1"/>
  <c r="N137" i="1"/>
  <c r="M137" i="1"/>
  <c r="T90" i="1"/>
  <c r="AY90" i="1" s="1"/>
  <c r="L136" i="1"/>
  <c r="T88" i="1"/>
  <c r="F20" i="5" s="1"/>
  <c r="T87" i="1"/>
  <c r="AZ87" i="1" s="1"/>
  <c r="E13" i="16"/>
  <c r="E50" i="16" s="1"/>
  <c r="T86" i="1"/>
  <c r="BC86" i="1" s="1"/>
  <c r="M136" i="1"/>
  <c r="BK136" i="1" s="1"/>
  <c r="T109" i="1"/>
  <c r="AX109" i="1" s="1"/>
  <c r="S105" i="1"/>
  <c r="D17" i="16"/>
  <c r="C17" i="16"/>
  <c r="C16" i="16"/>
  <c r="T108" i="1"/>
  <c r="AZ108" i="1" s="1"/>
  <c r="T106" i="1"/>
  <c r="BA106" i="1" s="1"/>
  <c r="S98" i="1"/>
  <c r="S88" i="1"/>
  <c r="M80" i="1"/>
  <c r="M10" i="1"/>
  <c r="BK10" i="1" s="1"/>
  <c r="R67" i="1"/>
  <c r="R14" i="1"/>
  <c r="M62" i="1"/>
  <c r="M63" i="1" s="1"/>
  <c r="R59" i="1"/>
  <c r="E16" i="16"/>
  <c r="D16" i="16"/>
  <c r="E17" i="16"/>
  <c r="O22" i="1"/>
  <c r="N22" i="1"/>
  <c r="Q22" i="1"/>
  <c r="M22" i="1"/>
  <c r="P22" i="1"/>
  <c r="L22" i="1"/>
  <c r="P19" i="1"/>
  <c r="L19" i="1"/>
  <c r="O19" i="1"/>
  <c r="N19" i="1"/>
  <c r="R19" i="1"/>
  <c r="Q19" i="1"/>
  <c r="M19" i="1"/>
  <c r="O69" i="1"/>
  <c r="O160" i="1" s="1"/>
  <c r="F69" i="16" s="1"/>
  <c r="Q26" i="1"/>
  <c r="P26" i="1"/>
  <c r="O26" i="1"/>
  <c r="N26" i="1"/>
  <c r="P61" i="1"/>
  <c r="P159" i="1" s="1"/>
  <c r="G68" i="16" s="1"/>
  <c r="Q25" i="1"/>
  <c r="P25" i="1"/>
  <c r="O25" i="1"/>
  <c r="N25" i="1"/>
  <c r="Q23" i="1"/>
  <c r="M23" i="1"/>
  <c r="P23" i="1"/>
  <c r="L23" i="1"/>
  <c r="O23" i="1"/>
  <c r="N23" i="1"/>
  <c r="O61" i="1"/>
  <c r="O159" i="1" s="1"/>
  <c r="F68" i="16" s="1"/>
  <c r="P69" i="1"/>
  <c r="P160" i="1" s="1"/>
  <c r="G69" i="16" s="1"/>
  <c r="Q24" i="1"/>
  <c r="P24" i="1"/>
  <c r="O24" i="1"/>
  <c r="N24" i="1"/>
  <c r="Q21" i="1"/>
  <c r="M21" i="1"/>
  <c r="P21" i="1"/>
  <c r="L21" i="1"/>
  <c r="O21" i="1"/>
  <c r="N21" i="1"/>
  <c r="K4" i="4"/>
  <c r="K6" i="4" s="1"/>
  <c r="S111" i="1"/>
  <c r="T111" i="1"/>
  <c r="D69" i="2"/>
  <c r="S104" i="1"/>
  <c r="T103" i="1"/>
  <c r="AX103" i="1" s="1"/>
  <c r="BE103" i="1" s="1"/>
  <c r="T104" i="1"/>
  <c r="AX104" i="1" s="1"/>
  <c r="BE104" i="1" s="1"/>
  <c r="S103" i="1"/>
  <c r="AK103" i="1" s="1"/>
  <c r="S110" i="1"/>
  <c r="T110" i="1"/>
  <c r="Q49" i="1"/>
  <c r="P49" i="1"/>
  <c r="O49" i="1"/>
  <c r="S134" i="1"/>
  <c r="T134" i="1"/>
  <c r="T83" i="1"/>
  <c r="S83" i="1"/>
  <c r="S135" i="1"/>
  <c r="T135" i="1"/>
  <c r="N62" i="1"/>
  <c r="N63" i="1" s="1"/>
  <c r="C62" i="2"/>
  <c r="AJ90" i="1"/>
  <c r="C64" i="2"/>
  <c r="D65" i="2"/>
  <c r="C197" i="2"/>
  <c r="BJ48" i="1" l="1"/>
  <c r="T48" i="1"/>
  <c r="S48" i="1"/>
  <c r="AM90" i="1"/>
  <c r="AM86" i="1"/>
  <c r="AN90" i="1"/>
  <c r="AP90" i="1"/>
  <c r="AM108" i="1"/>
  <c r="AM106" i="1"/>
  <c r="AW107" i="1"/>
  <c r="AJ86" i="1"/>
  <c r="AM87" i="1"/>
  <c r="AL99" i="1"/>
  <c r="AI86" i="1"/>
  <c r="AK90" i="1"/>
  <c r="AI90" i="1"/>
  <c r="AI87" i="1"/>
  <c r="AL87" i="1"/>
  <c r="AP86" i="1"/>
  <c r="BB98" i="1"/>
  <c r="AO87" i="1"/>
  <c r="AP87" i="1"/>
  <c r="AO90" i="1"/>
  <c r="AJ87" i="1"/>
  <c r="AL86" i="1"/>
  <c r="AN86" i="1"/>
  <c r="AX107" i="1"/>
  <c r="AK108" i="1"/>
  <c r="AO99" i="1"/>
  <c r="AW98" i="1"/>
  <c r="AN87" i="1"/>
  <c r="AZ98" i="1"/>
  <c r="AN109" i="1"/>
  <c r="AK109" i="1"/>
  <c r="AY98" i="1"/>
  <c r="BC98" i="1"/>
  <c r="AK86" i="1"/>
  <c r="C102" i="2"/>
  <c r="J12" i="22"/>
  <c r="BA107" i="1"/>
  <c r="AN108" i="1"/>
  <c r="AL106" i="1"/>
  <c r="AK106" i="1"/>
  <c r="AZ107" i="1"/>
  <c r="AV107" i="1"/>
  <c r="AO108" i="1"/>
  <c r="AI108" i="1"/>
  <c r="AP108" i="1"/>
  <c r="AN106" i="1"/>
  <c r="BC99" i="1"/>
  <c r="AI99" i="1"/>
  <c r="AM99" i="1"/>
  <c r="AV98" i="1"/>
  <c r="AP109" i="1"/>
  <c r="AL108" i="1"/>
  <c r="AY107" i="1"/>
  <c r="AI106" i="1"/>
  <c r="AJ106" i="1"/>
  <c r="AO106" i="1"/>
  <c r="AK99" i="1"/>
  <c r="AN99" i="1"/>
  <c r="BC107" i="1"/>
  <c r="AP99" i="1"/>
  <c r="BL140" i="1"/>
  <c r="AX98" i="1"/>
  <c r="AO109" i="1"/>
  <c r="AI109" i="1"/>
  <c r="E10" i="16"/>
  <c r="BL63" i="1"/>
  <c r="D10" i="16"/>
  <c r="BK63" i="1"/>
  <c r="D26" i="16"/>
  <c r="BK80" i="1"/>
  <c r="G8" i="16"/>
  <c r="BN47" i="1"/>
  <c r="H9" i="16"/>
  <c r="H38" i="16" s="1"/>
  <c r="BO49" i="1"/>
  <c r="F8" i="16"/>
  <c r="BM47" i="1"/>
  <c r="AL109" i="1"/>
  <c r="AM109" i="1"/>
  <c r="F9" i="16"/>
  <c r="BM49" i="1"/>
  <c r="D28" i="16"/>
  <c r="BK137" i="1"/>
  <c r="H8" i="16"/>
  <c r="BO47" i="1"/>
  <c r="G9" i="16"/>
  <c r="G38" i="16" s="1"/>
  <c r="BN49" i="1"/>
  <c r="S14" i="1"/>
  <c r="AO14" i="1" s="1"/>
  <c r="BP14" i="1"/>
  <c r="C27" i="16"/>
  <c r="C62" i="16" s="1"/>
  <c r="BJ136" i="1"/>
  <c r="E28" i="16"/>
  <c r="BL137" i="1"/>
  <c r="AA4" i="4"/>
  <c r="AA10" i="4" s="1"/>
  <c r="AN107" i="1"/>
  <c r="BB99" i="1"/>
  <c r="AR103" i="1"/>
  <c r="J103" i="1"/>
  <c r="AY99" i="1"/>
  <c r="AW99" i="1"/>
  <c r="AZ99" i="1"/>
  <c r="BA99" i="1"/>
  <c r="AX99" i="1"/>
  <c r="AN98" i="1"/>
  <c r="AK104" i="1"/>
  <c r="AM88" i="1"/>
  <c r="L20" i="5" s="1"/>
  <c r="AK105" i="1"/>
  <c r="C51" i="16"/>
  <c r="BB86" i="1"/>
  <c r="AY86" i="1"/>
  <c r="AK107" i="1"/>
  <c r="AO107" i="1"/>
  <c r="AV90" i="1"/>
  <c r="AP107" i="1"/>
  <c r="J68" i="16"/>
  <c r="J69" i="16"/>
  <c r="AY88" i="1"/>
  <c r="V20" i="5" s="1"/>
  <c r="AY109" i="1"/>
  <c r="BC109" i="1"/>
  <c r="S137" i="1"/>
  <c r="T137" i="1"/>
  <c r="AV137" i="1" s="1"/>
  <c r="BC90" i="1"/>
  <c r="AV86" i="1"/>
  <c r="AL107" i="1"/>
  <c r="AJ107" i="1"/>
  <c r="BA90" i="1"/>
  <c r="BA86" i="1"/>
  <c r="AM107" i="1"/>
  <c r="AX88" i="1"/>
  <c r="U20" i="5" s="1"/>
  <c r="AW90" i="1"/>
  <c r="AZ90" i="1"/>
  <c r="AW86" i="1"/>
  <c r="AX90" i="1"/>
  <c r="AZ86" i="1"/>
  <c r="BB90" i="1"/>
  <c r="AX86" i="1"/>
  <c r="BA87" i="1"/>
  <c r="D51" i="16"/>
  <c r="E51" i="16"/>
  <c r="AW88" i="1"/>
  <c r="T20" i="5" s="1"/>
  <c r="E20" i="5"/>
  <c r="BA88" i="1"/>
  <c r="X20" i="5" s="1"/>
  <c r="BB88" i="1"/>
  <c r="Y20" i="5" s="1"/>
  <c r="AV88" i="1"/>
  <c r="S20" i="5" s="1"/>
  <c r="AZ88" i="1"/>
  <c r="W20" i="5" s="1"/>
  <c r="BC88" i="1"/>
  <c r="S136" i="1"/>
  <c r="AX87" i="1"/>
  <c r="AY87" i="1"/>
  <c r="AW87" i="1"/>
  <c r="BB87" i="1"/>
  <c r="BC87" i="1"/>
  <c r="AV87" i="1"/>
  <c r="T136" i="1"/>
  <c r="AV136" i="1" s="1"/>
  <c r="AP88" i="1"/>
  <c r="S14" i="16" s="1"/>
  <c r="AZ109" i="1"/>
  <c r="AV109" i="1"/>
  <c r="AW109" i="1"/>
  <c r="BB109" i="1"/>
  <c r="BA109" i="1"/>
  <c r="BC108" i="1"/>
  <c r="AX108" i="1"/>
  <c r="AV106" i="1"/>
  <c r="AX106" i="1"/>
  <c r="AY106" i="1"/>
  <c r="BB108" i="1"/>
  <c r="AZ106" i="1"/>
  <c r="BB106" i="1"/>
  <c r="AV108" i="1"/>
  <c r="BA108" i="1"/>
  <c r="AK98" i="1"/>
  <c r="BC106" i="1"/>
  <c r="AW108" i="1"/>
  <c r="AJ98" i="1"/>
  <c r="AW106" i="1"/>
  <c r="AY108" i="1"/>
  <c r="AM98" i="1"/>
  <c r="AO88" i="1"/>
  <c r="N20" i="5" s="1"/>
  <c r="AJ88" i="1"/>
  <c r="I20" i="5" s="1"/>
  <c r="AK88" i="1"/>
  <c r="AI88" i="1"/>
  <c r="AN88" i="1"/>
  <c r="Q14" i="16" s="1"/>
  <c r="AL88" i="1"/>
  <c r="J14" i="16"/>
  <c r="AO98" i="1"/>
  <c r="AP98" i="1"/>
  <c r="AI98" i="1"/>
  <c r="AL98" i="1"/>
  <c r="T14" i="1"/>
  <c r="BB14" i="1" s="1"/>
  <c r="D25" i="16"/>
  <c r="S10" i="1"/>
  <c r="T10" i="1"/>
  <c r="AX10" i="1" s="1"/>
  <c r="BE10" i="1" s="1"/>
  <c r="T79" i="1"/>
  <c r="S79" i="1"/>
  <c r="S80" i="1"/>
  <c r="T80" i="1"/>
  <c r="T69" i="1"/>
  <c r="AX69" i="1" s="1"/>
  <c r="T61" i="1"/>
  <c r="BA61" i="1" s="1"/>
  <c r="S61" i="1"/>
  <c r="AM61" i="1" s="1"/>
  <c r="S160" i="1"/>
  <c r="AI160" i="1" s="1"/>
  <c r="T160" i="1"/>
  <c r="AZ160" i="1" s="1"/>
  <c r="N20" i="1"/>
  <c r="Q20" i="1"/>
  <c r="M20" i="1"/>
  <c r="R20" i="1"/>
  <c r="P20" i="1"/>
  <c r="L20" i="1"/>
  <c r="O20" i="1"/>
  <c r="S19" i="1"/>
  <c r="T19" i="1"/>
  <c r="R18" i="1"/>
  <c r="N18" i="1"/>
  <c r="Q18" i="1"/>
  <c r="M18" i="1"/>
  <c r="P18" i="1"/>
  <c r="L18" i="1"/>
  <c r="O18" i="1"/>
  <c r="S69" i="1"/>
  <c r="AO69" i="1" s="1"/>
  <c r="L67" i="1"/>
  <c r="P67" i="1"/>
  <c r="N67" i="1"/>
  <c r="O67" i="1"/>
  <c r="Q67" i="1"/>
  <c r="M67" i="1"/>
  <c r="L4" i="4"/>
  <c r="L6" i="4" s="1"/>
  <c r="AB3" i="4"/>
  <c r="AB9" i="4" s="1"/>
  <c r="F24" i="5"/>
  <c r="E24" i="5"/>
  <c r="BB111" i="1"/>
  <c r="AW111" i="1"/>
  <c r="AX111" i="1"/>
  <c r="BC111" i="1"/>
  <c r="AZ111" i="1"/>
  <c r="BA111" i="1"/>
  <c r="AY111" i="1"/>
  <c r="AV111" i="1"/>
  <c r="AK111" i="1"/>
  <c r="AI111" i="1"/>
  <c r="AP111" i="1"/>
  <c r="AN111" i="1"/>
  <c r="AL111" i="1"/>
  <c r="AJ111" i="1"/>
  <c r="AO111" i="1"/>
  <c r="AM111" i="1"/>
  <c r="D70" i="2"/>
  <c r="BA110" i="1"/>
  <c r="AZ110" i="1"/>
  <c r="AW110" i="1"/>
  <c r="AX110" i="1"/>
  <c r="AV110" i="1"/>
  <c r="BB110" i="1"/>
  <c r="BC110" i="1"/>
  <c r="Z24" i="5" s="1"/>
  <c r="AY110" i="1"/>
  <c r="AO110" i="1"/>
  <c r="AM110" i="1"/>
  <c r="AK110" i="1"/>
  <c r="AI110" i="1"/>
  <c r="AP110" i="1"/>
  <c r="AN110" i="1"/>
  <c r="AJ110" i="1"/>
  <c r="AL110" i="1"/>
  <c r="O157" i="1"/>
  <c r="Q157" i="1"/>
  <c r="AW83" i="1"/>
  <c r="AX83" i="1"/>
  <c r="BC83" i="1"/>
  <c r="BA83" i="1"/>
  <c r="AY83" i="1"/>
  <c r="AV83" i="1"/>
  <c r="BB83" i="1"/>
  <c r="AZ83" i="1"/>
  <c r="T25" i="1"/>
  <c r="S25" i="1"/>
  <c r="T24" i="1"/>
  <c r="S24" i="1"/>
  <c r="N157" i="1"/>
  <c r="AX135" i="1"/>
  <c r="AZ135" i="1"/>
  <c r="BC135" i="1"/>
  <c r="BA135" i="1"/>
  <c r="AV135" i="1"/>
  <c r="AY135" i="1"/>
  <c r="AW135" i="1"/>
  <c r="BB135" i="1"/>
  <c r="P157" i="1"/>
  <c r="AX134" i="1"/>
  <c r="AY134" i="1"/>
  <c r="BA134" i="1"/>
  <c r="BB134" i="1"/>
  <c r="AV134" i="1"/>
  <c r="AW134" i="1"/>
  <c r="AZ134" i="1"/>
  <c r="BC134" i="1"/>
  <c r="AN135" i="1"/>
  <c r="AO135" i="1"/>
  <c r="AI135" i="1"/>
  <c r="AJ135" i="1"/>
  <c r="AK135" i="1"/>
  <c r="AL135" i="1"/>
  <c r="AM135" i="1"/>
  <c r="AP135" i="1"/>
  <c r="AL83" i="1"/>
  <c r="AM83" i="1"/>
  <c r="AP83" i="1"/>
  <c r="AN83" i="1"/>
  <c r="AK83" i="1"/>
  <c r="AI83" i="1"/>
  <c r="AJ83" i="1"/>
  <c r="AO83" i="1"/>
  <c r="AO134" i="1"/>
  <c r="AP134" i="1"/>
  <c r="AK134" i="1"/>
  <c r="AL134" i="1"/>
  <c r="AJ134" i="1"/>
  <c r="AN134" i="1"/>
  <c r="AM134" i="1"/>
  <c r="AI134" i="1"/>
  <c r="T26" i="1"/>
  <c r="S26" i="1"/>
  <c r="S159" i="1"/>
  <c r="T159" i="1"/>
  <c r="D68" i="2"/>
  <c r="C65" i="2"/>
  <c r="C309" i="2"/>
  <c r="D309" i="2"/>
  <c r="AC32" i="1"/>
  <c r="AC31" i="1"/>
  <c r="BB48" i="1" l="1"/>
  <c r="AX48" i="1"/>
  <c r="AY48" i="1"/>
  <c r="AW48" i="1"/>
  <c r="BA48" i="1"/>
  <c r="BC48" i="1"/>
  <c r="AV48" i="1"/>
  <c r="AZ48" i="1"/>
  <c r="AK48" i="1"/>
  <c r="G16" i="21" s="1"/>
  <c r="S16" i="21" s="1"/>
  <c r="AM48" i="1"/>
  <c r="AO48" i="1"/>
  <c r="AJ48" i="1"/>
  <c r="AN48" i="1"/>
  <c r="AL48" i="1"/>
  <c r="AI48" i="1"/>
  <c r="AP48" i="1"/>
  <c r="H87" i="21"/>
  <c r="T87" i="21" s="1"/>
  <c r="H48" i="21"/>
  <c r="T48" i="21" s="1"/>
  <c r="H49" i="21"/>
  <c r="T49" i="21" s="1"/>
  <c r="H46" i="21"/>
  <c r="T46" i="21" s="1"/>
  <c r="H40" i="21"/>
  <c r="T40" i="21" s="1"/>
  <c r="H45" i="21"/>
  <c r="T45" i="21" s="1"/>
  <c r="H88" i="21"/>
  <c r="T88" i="21" s="1"/>
  <c r="AL14" i="1"/>
  <c r="AR86" i="1"/>
  <c r="G49" i="21"/>
  <c r="S49" i="21" s="1"/>
  <c r="M69" i="16"/>
  <c r="N69" i="16"/>
  <c r="G47" i="21"/>
  <c r="S47" i="21" s="1"/>
  <c r="G87" i="21"/>
  <c r="S87" i="21" s="1"/>
  <c r="G45" i="21"/>
  <c r="S45" i="21" s="1"/>
  <c r="G48" i="21"/>
  <c r="S48" i="21" s="1"/>
  <c r="G88" i="21"/>
  <c r="S88" i="21" s="1"/>
  <c r="G40" i="21"/>
  <c r="S40" i="21" s="1"/>
  <c r="M68" i="16"/>
  <c r="N68" i="16"/>
  <c r="G46" i="21"/>
  <c r="S46" i="21" s="1"/>
  <c r="J87" i="1"/>
  <c r="F34" i="21" s="1"/>
  <c r="AB12" i="4"/>
  <c r="AB13" i="4"/>
  <c r="AB14" i="4" s="1"/>
  <c r="AI14" i="1"/>
  <c r="J86" i="1"/>
  <c r="F33" i="21" s="1"/>
  <c r="AR87" i="1"/>
  <c r="J99" i="1"/>
  <c r="BE98" i="1"/>
  <c r="BE107" i="1"/>
  <c r="J90" i="1"/>
  <c r="AR90" i="1"/>
  <c r="J106" i="1"/>
  <c r="F45" i="21" s="1"/>
  <c r="AM14" i="1"/>
  <c r="AR109" i="1"/>
  <c r="AR99" i="1"/>
  <c r="R142" i="1"/>
  <c r="P142" i="1"/>
  <c r="O142" i="1"/>
  <c r="BM142" i="1" s="1"/>
  <c r="N142" i="1"/>
  <c r="BL142" i="1" s="1"/>
  <c r="Q142" i="1"/>
  <c r="M142" i="1"/>
  <c r="AR108" i="1"/>
  <c r="J108" i="1"/>
  <c r="F46" i="21" s="1"/>
  <c r="AP19" i="1"/>
  <c r="AL19" i="1"/>
  <c r="AO19" i="1"/>
  <c r="AK19" i="1"/>
  <c r="AN19" i="1"/>
  <c r="AJ19" i="1"/>
  <c r="AM19" i="1"/>
  <c r="AI19" i="1"/>
  <c r="J105" i="1"/>
  <c r="F44" i="21" s="1"/>
  <c r="G44" i="21"/>
  <c r="S44" i="21" s="1"/>
  <c r="AJ14" i="1"/>
  <c r="J104" i="1"/>
  <c r="F43" i="21" s="1"/>
  <c r="G43" i="21"/>
  <c r="S43" i="21" s="1"/>
  <c r="AR106" i="1"/>
  <c r="BC19" i="1"/>
  <c r="AY19" i="1"/>
  <c r="BB19" i="1"/>
  <c r="AX19" i="1"/>
  <c r="BA19" i="1"/>
  <c r="AW19" i="1"/>
  <c r="AZ19" i="1"/>
  <c r="AV19" i="1"/>
  <c r="J109" i="1"/>
  <c r="F47" i="21" s="1"/>
  <c r="H47" i="21"/>
  <c r="T47" i="21" s="1"/>
  <c r="D54" i="16"/>
  <c r="AN14" i="1"/>
  <c r="AK14" i="1"/>
  <c r="BP31" i="1"/>
  <c r="AP14" i="1"/>
  <c r="J107" i="1"/>
  <c r="H20" i="5"/>
  <c r="J88" i="1"/>
  <c r="F35" i="21" s="1"/>
  <c r="J110" i="1"/>
  <c r="F48" i="21" s="1"/>
  <c r="J111" i="1"/>
  <c r="F49" i="21" s="1"/>
  <c r="J135" i="1"/>
  <c r="F88" i="21" s="1"/>
  <c r="J83" i="1"/>
  <c r="F30" i="21" s="1"/>
  <c r="J134" i="1"/>
  <c r="F87" i="21" s="1"/>
  <c r="J98" i="1"/>
  <c r="F40" i="21" s="1"/>
  <c r="BE99" i="1"/>
  <c r="P14" i="16"/>
  <c r="AL136" i="1"/>
  <c r="J20" i="5"/>
  <c r="AR105" i="1"/>
  <c r="AK10" i="1"/>
  <c r="J28" i="16"/>
  <c r="AR104" i="1"/>
  <c r="AZ137" i="1"/>
  <c r="BA137" i="1"/>
  <c r="BB137" i="1"/>
  <c r="AY137" i="1"/>
  <c r="BC137" i="1"/>
  <c r="AW137" i="1"/>
  <c r="AX137" i="1"/>
  <c r="AJ136" i="1"/>
  <c r="BE90" i="1"/>
  <c r="AK137" i="1"/>
  <c r="AM137" i="1"/>
  <c r="P28" i="16" s="1"/>
  <c r="AI137" i="1"/>
  <c r="AP137" i="1"/>
  <c r="S28" i="16" s="1"/>
  <c r="O20" i="5"/>
  <c r="AN136" i="1"/>
  <c r="AN137" i="1"/>
  <c r="Q28" i="16" s="1"/>
  <c r="AO137" i="1"/>
  <c r="R28" i="16" s="1"/>
  <c r="AJ137" i="1"/>
  <c r="M28" i="16" s="1"/>
  <c r="AL137" i="1"/>
  <c r="BE86" i="1"/>
  <c r="AR107" i="1"/>
  <c r="BE88" i="1"/>
  <c r="Z20" i="5"/>
  <c r="AA20" i="5" s="1"/>
  <c r="AI136" i="1"/>
  <c r="AM136" i="1"/>
  <c r="AP136" i="1"/>
  <c r="AO136" i="1"/>
  <c r="AK136" i="1"/>
  <c r="BE87" i="1"/>
  <c r="AX136" i="1"/>
  <c r="AY136" i="1"/>
  <c r="AW136" i="1"/>
  <c r="BB136" i="1"/>
  <c r="BC136" i="1"/>
  <c r="BA136" i="1"/>
  <c r="AZ136" i="1"/>
  <c r="BE109" i="1"/>
  <c r="R14" i="16"/>
  <c r="L14" i="16"/>
  <c r="M20" i="5"/>
  <c r="AV14" i="1"/>
  <c r="AZ14" i="1"/>
  <c r="BC14" i="1"/>
  <c r="AX14" i="1"/>
  <c r="AW14" i="1"/>
  <c r="BA14" i="1"/>
  <c r="AY14" i="1"/>
  <c r="M14" i="16"/>
  <c r="BE108" i="1"/>
  <c r="BA160" i="1"/>
  <c r="BE106" i="1"/>
  <c r="N14" i="16"/>
  <c r="AR88" i="1"/>
  <c r="O14" i="16"/>
  <c r="K20" i="5"/>
  <c r="AR98" i="1"/>
  <c r="J25" i="16"/>
  <c r="AJ160" i="1"/>
  <c r="J26" i="16"/>
  <c r="AP61" i="1"/>
  <c r="AL61" i="1"/>
  <c r="AY80" i="1"/>
  <c r="AV80" i="1"/>
  <c r="BB80" i="1"/>
  <c r="BA80" i="1"/>
  <c r="AZ80" i="1"/>
  <c r="BC80" i="1"/>
  <c r="AW80" i="1"/>
  <c r="AX80" i="1"/>
  <c r="AL80" i="1"/>
  <c r="AJ80" i="1"/>
  <c r="AO80" i="1"/>
  <c r="AM80" i="1"/>
  <c r="AK80" i="1"/>
  <c r="AI80" i="1"/>
  <c r="AP80" i="1"/>
  <c r="AN80" i="1"/>
  <c r="AL79" i="1"/>
  <c r="AJ79" i="1"/>
  <c r="M25" i="16" s="1"/>
  <c r="AO79" i="1"/>
  <c r="R25" i="16" s="1"/>
  <c r="AM79" i="1"/>
  <c r="P25" i="16" s="1"/>
  <c r="AK79" i="1"/>
  <c r="AI79" i="1"/>
  <c r="AP79" i="1"/>
  <c r="S25" i="16" s="1"/>
  <c r="AN79" i="1"/>
  <c r="Q25" i="16" s="1"/>
  <c r="BA79" i="1"/>
  <c r="BC79" i="1"/>
  <c r="AW79" i="1"/>
  <c r="AY79" i="1"/>
  <c r="BB79" i="1"/>
  <c r="AZ79" i="1"/>
  <c r="AX79" i="1"/>
  <c r="AV79" i="1"/>
  <c r="AP160" i="1"/>
  <c r="AX160" i="1"/>
  <c r="AJ61" i="1"/>
  <c r="AN61" i="1"/>
  <c r="AK61" i="1"/>
  <c r="AO61" i="1"/>
  <c r="AI61" i="1"/>
  <c r="AV69" i="1"/>
  <c r="BB69" i="1"/>
  <c r="AZ69" i="1"/>
  <c r="BC69" i="1"/>
  <c r="AX61" i="1"/>
  <c r="BC61" i="1"/>
  <c r="AW61" i="1"/>
  <c r="AV61" i="1"/>
  <c r="AY69" i="1"/>
  <c r="AW69" i="1"/>
  <c r="AV160" i="1"/>
  <c r="BB61" i="1"/>
  <c r="AZ61" i="1"/>
  <c r="BA69" i="1"/>
  <c r="AN160" i="1"/>
  <c r="AW160" i="1"/>
  <c r="AM160" i="1"/>
  <c r="AO160" i="1"/>
  <c r="AK69" i="1"/>
  <c r="AY61" i="1"/>
  <c r="AL160" i="1"/>
  <c r="D71" i="2"/>
  <c r="D72" i="2" s="1"/>
  <c r="D306" i="2" s="1"/>
  <c r="AL69" i="1"/>
  <c r="AJ69" i="1"/>
  <c r="BB160" i="1"/>
  <c r="AP69" i="1"/>
  <c r="AK160" i="1"/>
  <c r="BC160" i="1"/>
  <c r="T20" i="1"/>
  <c r="S20" i="1"/>
  <c r="AM69" i="1"/>
  <c r="AI69" i="1"/>
  <c r="AN69" i="1"/>
  <c r="AY160" i="1"/>
  <c r="X24" i="5"/>
  <c r="T18" i="1"/>
  <c r="S18" i="1"/>
  <c r="I24" i="5"/>
  <c r="T24" i="5"/>
  <c r="M4" i="4"/>
  <c r="M6" i="4" s="1"/>
  <c r="J24" i="5"/>
  <c r="Y24" i="5"/>
  <c r="V24" i="5"/>
  <c r="M24" i="5"/>
  <c r="L24" i="5"/>
  <c r="O24" i="5"/>
  <c r="N24" i="5"/>
  <c r="S24" i="5"/>
  <c r="H24" i="5"/>
  <c r="U24" i="5"/>
  <c r="W24" i="5"/>
  <c r="K24" i="5"/>
  <c r="BE111" i="1"/>
  <c r="AR111" i="1"/>
  <c r="AR110" i="1"/>
  <c r="BE110" i="1"/>
  <c r="AR83" i="1"/>
  <c r="AK26" i="1"/>
  <c r="AN26" i="1"/>
  <c r="AL26" i="1"/>
  <c r="AM26" i="1"/>
  <c r="AJ26" i="1"/>
  <c r="AO26" i="1"/>
  <c r="AP26" i="1"/>
  <c r="AI26" i="1"/>
  <c r="T157" i="1"/>
  <c r="S157" i="1"/>
  <c r="BC26" i="1"/>
  <c r="AW26" i="1"/>
  <c r="AZ26" i="1"/>
  <c r="AY26" i="1"/>
  <c r="AV26" i="1"/>
  <c r="BA26" i="1"/>
  <c r="BB26" i="1"/>
  <c r="AX26" i="1"/>
  <c r="BE134" i="1"/>
  <c r="BE135" i="1"/>
  <c r="AP24" i="1"/>
  <c r="AM24" i="1"/>
  <c r="AJ24" i="1"/>
  <c r="AI24" i="1"/>
  <c r="AO24" i="1"/>
  <c r="AK24" i="1"/>
  <c r="AL24" i="1"/>
  <c r="AN24" i="1"/>
  <c r="AW25" i="1"/>
  <c r="AX25" i="1"/>
  <c r="BC25" i="1"/>
  <c r="AY25" i="1"/>
  <c r="AV25" i="1"/>
  <c r="BA25" i="1"/>
  <c r="AZ25" i="1"/>
  <c r="BB25" i="1"/>
  <c r="BE83" i="1"/>
  <c r="AN25" i="1"/>
  <c r="AJ25" i="1"/>
  <c r="AM25" i="1"/>
  <c r="AK25" i="1"/>
  <c r="AL25" i="1"/>
  <c r="AP25" i="1"/>
  <c r="AI25" i="1"/>
  <c r="AO25" i="1"/>
  <c r="AR134" i="1"/>
  <c r="AV24" i="1"/>
  <c r="AX24" i="1"/>
  <c r="AW24" i="1"/>
  <c r="BB24" i="1"/>
  <c r="AZ24" i="1"/>
  <c r="BA24" i="1"/>
  <c r="AY24" i="1"/>
  <c r="BC24" i="1"/>
  <c r="AR135" i="1"/>
  <c r="AM159" i="1"/>
  <c r="AN159" i="1"/>
  <c r="AK159" i="1"/>
  <c r="AL159" i="1"/>
  <c r="AO159" i="1"/>
  <c r="AP159" i="1"/>
  <c r="AI159" i="1"/>
  <c r="AJ159" i="1"/>
  <c r="BC159" i="1"/>
  <c r="AZ159" i="1"/>
  <c r="AV159" i="1"/>
  <c r="BA159" i="1"/>
  <c r="BB159" i="1"/>
  <c r="AY159" i="1"/>
  <c r="AW159" i="1"/>
  <c r="AX159" i="1"/>
  <c r="AC33" i="1"/>
  <c r="N87" i="21" l="1"/>
  <c r="R87" i="21" s="1"/>
  <c r="N88" i="21"/>
  <c r="R88" i="21" s="1"/>
  <c r="N46" i="21"/>
  <c r="R46" i="21" s="1"/>
  <c r="N47" i="21"/>
  <c r="R47" i="21" s="1"/>
  <c r="AR48" i="1"/>
  <c r="J48" i="1"/>
  <c r="F16" i="21" s="1"/>
  <c r="BE48" i="1"/>
  <c r="I33" i="21"/>
  <c r="Q33" i="21" s="1"/>
  <c r="P40" i="21"/>
  <c r="O44" i="21"/>
  <c r="O45" i="21"/>
  <c r="O49" i="21"/>
  <c r="O43" i="21"/>
  <c r="P88" i="21"/>
  <c r="P46" i="21"/>
  <c r="P48" i="21"/>
  <c r="O46" i="21"/>
  <c r="O48" i="21"/>
  <c r="O87" i="21"/>
  <c r="O88" i="21"/>
  <c r="O47" i="21"/>
  <c r="P45" i="21"/>
  <c r="P47" i="21"/>
  <c r="P49" i="21"/>
  <c r="P87" i="21"/>
  <c r="H91" i="21"/>
  <c r="T91" i="21" s="1"/>
  <c r="H90" i="21"/>
  <c r="T90" i="21" s="1"/>
  <c r="O40" i="21"/>
  <c r="N33" i="21"/>
  <c r="R33" i="21" s="1"/>
  <c r="N34" i="21"/>
  <c r="R34" i="21" s="1"/>
  <c r="I34" i="21"/>
  <c r="Q34" i="21" s="1"/>
  <c r="G63" i="21"/>
  <c r="S63" i="21" s="1"/>
  <c r="G64" i="21"/>
  <c r="S64" i="21" s="1"/>
  <c r="G91" i="21"/>
  <c r="S91" i="21" s="1"/>
  <c r="N30" i="21"/>
  <c r="R30" i="21" s="1"/>
  <c r="I30" i="21"/>
  <c r="N35" i="21"/>
  <c r="R35" i="21" s="1"/>
  <c r="I35" i="21"/>
  <c r="Q35" i="21" s="1"/>
  <c r="G90" i="21"/>
  <c r="S90" i="21" s="1"/>
  <c r="I46" i="21"/>
  <c r="Q46" i="21" s="1"/>
  <c r="AR14" i="1"/>
  <c r="I47" i="21"/>
  <c r="Q47" i="21" s="1"/>
  <c r="N48" i="21"/>
  <c r="R48" i="21" s="1"/>
  <c r="I48" i="21"/>
  <c r="Q48" i="21" s="1"/>
  <c r="AP18" i="1"/>
  <c r="AL18" i="1"/>
  <c r="AO18" i="1"/>
  <c r="AK18" i="1"/>
  <c r="AN18" i="1"/>
  <c r="AJ18" i="1"/>
  <c r="AM18" i="1"/>
  <c r="AI18" i="1"/>
  <c r="BC20" i="1"/>
  <c r="AY20" i="1"/>
  <c r="BB20" i="1"/>
  <c r="AX20" i="1"/>
  <c r="BA20" i="1"/>
  <c r="AW20" i="1"/>
  <c r="AZ20" i="1"/>
  <c r="AV20" i="1"/>
  <c r="N44" i="21"/>
  <c r="R44" i="21" s="1"/>
  <c r="I44" i="21"/>
  <c r="Q44" i="21" s="1"/>
  <c r="BE19" i="1"/>
  <c r="N45" i="21"/>
  <c r="R45" i="21" s="1"/>
  <c r="I45" i="21"/>
  <c r="Q45" i="21" s="1"/>
  <c r="BC18" i="1"/>
  <c r="AY18" i="1"/>
  <c r="BB18" i="1"/>
  <c r="AX18" i="1"/>
  <c r="BA18" i="1"/>
  <c r="AW18" i="1"/>
  <c r="AZ18" i="1"/>
  <c r="AV18" i="1"/>
  <c r="N40" i="21"/>
  <c r="R40" i="21" s="1"/>
  <c r="I40" i="21"/>
  <c r="N43" i="21"/>
  <c r="R43" i="21" s="1"/>
  <c r="I43" i="21"/>
  <c r="Q43" i="21" s="1"/>
  <c r="N49" i="21"/>
  <c r="R49" i="21" s="1"/>
  <c r="I49" i="21"/>
  <c r="Q49" i="21" s="1"/>
  <c r="AR19" i="1"/>
  <c r="AP20" i="1"/>
  <c r="AL20" i="1"/>
  <c r="AO20" i="1"/>
  <c r="AK20" i="1"/>
  <c r="AN20" i="1"/>
  <c r="AJ20" i="1"/>
  <c r="AM20" i="1"/>
  <c r="AI20" i="1"/>
  <c r="J10" i="1"/>
  <c r="F62" i="21" s="1"/>
  <c r="G62" i="21"/>
  <c r="S62" i="21" s="1"/>
  <c r="J19" i="1"/>
  <c r="BK142" i="1"/>
  <c r="BM140" i="1"/>
  <c r="J14" i="1"/>
  <c r="AB4" i="4"/>
  <c r="AB10" i="4" s="1"/>
  <c r="J25" i="1"/>
  <c r="J24" i="1"/>
  <c r="J26" i="1"/>
  <c r="J80" i="1"/>
  <c r="F64" i="21" s="1"/>
  <c r="L25" i="16"/>
  <c r="J79" i="1"/>
  <c r="J69" i="1"/>
  <c r="J61" i="1"/>
  <c r="J136" i="1"/>
  <c r="F90" i="21" s="1"/>
  <c r="L28" i="16"/>
  <c r="J137" i="1"/>
  <c r="F91" i="21" s="1"/>
  <c r="O28" i="16"/>
  <c r="N25" i="16"/>
  <c r="O25" i="16"/>
  <c r="N28" i="16"/>
  <c r="AR10" i="1"/>
  <c r="BE137" i="1"/>
  <c r="AR137" i="1"/>
  <c r="N91" i="21" s="1"/>
  <c r="R91" i="21" s="1"/>
  <c r="AR136" i="1"/>
  <c r="J54" i="16"/>
  <c r="BE136" i="1"/>
  <c r="P20" i="5"/>
  <c r="BE14" i="1"/>
  <c r="T14" i="16"/>
  <c r="V14" i="16"/>
  <c r="AC14" i="16" s="1"/>
  <c r="R26" i="16"/>
  <c r="R54" i="16" s="1"/>
  <c r="L26" i="16"/>
  <c r="M26" i="16"/>
  <c r="M54" i="16" s="1"/>
  <c r="Q26" i="16"/>
  <c r="Q54" i="16" s="1"/>
  <c r="P26" i="16"/>
  <c r="P54" i="16" s="1"/>
  <c r="S26" i="16"/>
  <c r="S54" i="16" s="1"/>
  <c r="N26" i="16"/>
  <c r="O26" i="16"/>
  <c r="AR79" i="1"/>
  <c r="AR80" i="1"/>
  <c r="BE79" i="1"/>
  <c r="BE80" i="1"/>
  <c r="AR61" i="1"/>
  <c r="AR160" i="1"/>
  <c r="AR69" i="1"/>
  <c r="BE69" i="1"/>
  <c r="BE61" i="1"/>
  <c r="C306" i="2"/>
  <c r="BE160" i="1"/>
  <c r="N4" i="4"/>
  <c r="N6" i="4" s="1"/>
  <c r="AC3" i="4"/>
  <c r="AC9" i="4" s="1"/>
  <c r="AR26" i="1"/>
  <c r="BE25" i="1"/>
  <c r="BE26" i="1"/>
  <c r="BE24" i="1"/>
  <c r="AR25" i="1"/>
  <c r="AM157" i="1"/>
  <c r="AI157" i="1"/>
  <c r="AL157" i="1"/>
  <c r="AP157" i="1"/>
  <c r="AK157" i="1"/>
  <c r="AJ157" i="1"/>
  <c r="AN157" i="1"/>
  <c r="AO157" i="1"/>
  <c r="AR24" i="1"/>
  <c r="BA157" i="1"/>
  <c r="AV157" i="1"/>
  <c r="AX157" i="1"/>
  <c r="AY157" i="1"/>
  <c r="BC157" i="1"/>
  <c r="AW157" i="1"/>
  <c r="BB157" i="1"/>
  <c r="AZ157" i="1"/>
  <c r="BE159" i="1"/>
  <c r="AR159" i="1"/>
  <c r="O127" i="1"/>
  <c r="BM127" i="1" s="1"/>
  <c r="N126" i="1"/>
  <c r="BL126" i="1" s="1"/>
  <c r="O125" i="1"/>
  <c r="BM125" i="1" s="1"/>
  <c r="N125" i="1"/>
  <c r="BL125" i="1" s="1"/>
  <c r="M125" i="1"/>
  <c r="BK125" i="1" s="1"/>
  <c r="L125" i="1"/>
  <c r="BJ125" i="1" s="1"/>
  <c r="O124" i="1"/>
  <c r="BM124" i="1" s="1"/>
  <c r="N124" i="1"/>
  <c r="BL124" i="1" s="1"/>
  <c r="M124" i="1"/>
  <c r="BK124" i="1" s="1"/>
  <c r="L124" i="1"/>
  <c r="BJ124" i="1" s="1"/>
  <c r="O123" i="1"/>
  <c r="N123" i="1"/>
  <c r="M123" i="1"/>
  <c r="L123" i="1"/>
  <c r="O122" i="1"/>
  <c r="BM122" i="1" s="1"/>
  <c r="N122" i="1"/>
  <c r="BL122" i="1" s="1"/>
  <c r="M122" i="1"/>
  <c r="L122" i="1"/>
  <c r="O120" i="1"/>
  <c r="N120" i="1"/>
  <c r="M120" i="1"/>
  <c r="L120" i="1"/>
  <c r="O119" i="1"/>
  <c r="BM119" i="1" s="1"/>
  <c r="N119" i="1"/>
  <c r="BL119" i="1" s="1"/>
  <c r="M119" i="1"/>
  <c r="BK119" i="1" s="1"/>
  <c r="L119" i="1"/>
  <c r="BJ119" i="1" s="1"/>
  <c r="O117" i="1"/>
  <c r="BM117" i="1" s="1"/>
  <c r="N117" i="1"/>
  <c r="BL117" i="1" s="1"/>
  <c r="M117" i="1"/>
  <c r="BK117" i="1" s="1"/>
  <c r="L117" i="1"/>
  <c r="BJ117" i="1" s="1"/>
  <c r="M93" i="1"/>
  <c r="M85" i="1"/>
  <c r="M78" i="1"/>
  <c r="BK78" i="1" s="1"/>
  <c r="M77" i="1"/>
  <c r="BK77" i="1" s="1"/>
  <c r="M76" i="1"/>
  <c r="BK76" i="1" s="1"/>
  <c r="M75" i="1"/>
  <c r="BK75" i="1" s="1"/>
  <c r="M74" i="1"/>
  <c r="BK74" i="1" s="1"/>
  <c r="M73" i="1"/>
  <c r="BK73" i="1" s="1"/>
  <c r="N90" i="21" l="1"/>
  <c r="R90" i="21" s="1"/>
  <c r="I16" i="21"/>
  <c r="O91" i="21"/>
  <c r="O63" i="21"/>
  <c r="P91" i="21"/>
  <c r="O90" i="21"/>
  <c r="O64" i="21"/>
  <c r="P90" i="21"/>
  <c r="Q30" i="21"/>
  <c r="AC12" i="4"/>
  <c r="AC13" i="4"/>
  <c r="AC14" i="4" s="1"/>
  <c r="P138" i="1"/>
  <c r="O138" i="1"/>
  <c r="R138" i="1"/>
  <c r="N138" i="1"/>
  <c r="Q138" i="1"/>
  <c r="M138" i="1"/>
  <c r="AR20" i="1"/>
  <c r="BE18" i="1"/>
  <c r="N64" i="21"/>
  <c r="R64" i="21" s="1"/>
  <c r="I64" i="21"/>
  <c r="Q64" i="21" s="1"/>
  <c r="F65" i="21"/>
  <c r="N62" i="21"/>
  <c r="R62" i="21" s="1"/>
  <c r="I62" i="21"/>
  <c r="J20" i="1"/>
  <c r="BE20" i="1"/>
  <c r="AR18" i="1"/>
  <c r="N63" i="21"/>
  <c r="R63" i="21" s="1"/>
  <c r="I63" i="21"/>
  <c r="Q63" i="21" s="1"/>
  <c r="O62" i="21"/>
  <c r="G65" i="21"/>
  <c r="S65" i="21" s="1"/>
  <c r="Q40" i="21"/>
  <c r="J18" i="1"/>
  <c r="D13" i="16"/>
  <c r="D50" i="16" s="1"/>
  <c r="BK85" i="1"/>
  <c r="E19" i="16"/>
  <c r="BL120" i="1"/>
  <c r="E21" i="16"/>
  <c r="BL123" i="1"/>
  <c r="D15" i="16"/>
  <c r="D49" i="16" s="1"/>
  <c r="BK93" i="1"/>
  <c r="F19" i="16"/>
  <c r="BM120" i="1"/>
  <c r="F21" i="16"/>
  <c r="F38" i="16" s="1"/>
  <c r="BM123" i="1"/>
  <c r="C19" i="16"/>
  <c r="BJ120" i="1"/>
  <c r="C20" i="16"/>
  <c r="BJ122" i="1"/>
  <c r="C21" i="16"/>
  <c r="BJ123" i="1"/>
  <c r="D19" i="16"/>
  <c r="BK120" i="1"/>
  <c r="D20" i="16"/>
  <c r="BK122" i="1"/>
  <c r="D21" i="16"/>
  <c r="BK123" i="1"/>
  <c r="L54" i="16"/>
  <c r="V25" i="16"/>
  <c r="AB25" i="16" s="1"/>
  <c r="T25" i="16"/>
  <c r="T28" i="16"/>
  <c r="N54" i="16"/>
  <c r="V28" i="16"/>
  <c r="Y28" i="16" s="1"/>
  <c r="O54" i="16"/>
  <c r="AA14" i="16"/>
  <c r="X14" i="16"/>
  <c r="W14" i="16"/>
  <c r="AB14" i="16"/>
  <c r="Y14" i="16"/>
  <c r="Z14" i="16"/>
  <c r="C18" i="16"/>
  <c r="F18" i="16"/>
  <c r="D18" i="16"/>
  <c r="E18" i="16"/>
  <c r="V26" i="16"/>
  <c r="AC26" i="16" s="1"/>
  <c r="T26" i="16"/>
  <c r="D11" i="16"/>
  <c r="F20" i="16"/>
  <c r="D12" i="16"/>
  <c r="E20" i="16"/>
  <c r="O4" i="4"/>
  <c r="BE157" i="1"/>
  <c r="AR157" i="1"/>
  <c r="S75" i="1"/>
  <c r="T75" i="1"/>
  <c r="S102" i="1"/>
  <c r="T102" i="1"/>
  <c r="S93" i="1"/>
  <c r="T93" i="1"/>
  <c r="S117" i="1"/>
  <c r="T117" i="1"/>
  <c r="S119" i="1"/>
  <c r="T119" i="1"/>
  <c r="S122" i="1"/>
  <c r="T122" i="1"/>
  <c r="S123" i="1"/>
  <c r="T123" i="1"/>
  <c r="S124" i="1"/>
  <c r="T124" i="1"/>
  <c r="S126" i="1"/>
  <c r="T126" i="1"/>
  <c r="S73" i="1"/>
  <c r="T73" i="1"/>
  <c r="F18" i="5" s="1"/>
  <c r="S77" i="1"/>
  <c r="T77" i="1"/>
  <c r="S100" i="1"/>
  <c r="T100" i="1"/>
  <c r="S127" i="1"/>
  <c r="T127" i="1"/>
  <c r="S85" i="1"/>
  <c r="T85" i="1"/>
  <c r="S76" i="1"/>
  <c r="T76" i="1"/>
  <c r="S120" i="1"/>
  <c r="T120" i="1"/>
  <c r="S125" i="1"/>
  <c r="T125" i="1"/>
  <c r="S74" i="1"/>
  <c r="T74" i="1"/>
  <c r="F16" i="5" s="1"/>
  <c r="S78" i="1"/>
  <c r="T78" i="1"/>
  <c r="S101" i="1"/>
  <c r="T101" i="1"/>
  <c r="L62" i="1"/>
  <c r="M43" i="1"/>
  <c r="BK43" i="1" s="1"/>
  <c r="D113" i="2"/>
  <c r="D114" i="2" s="1"/>
  <c r="D116" i="2" s="1"/>
  <c r="C113" i="2"/>
  <c r="L30" i="1"/>
  <c r="L52" i="1"/>
  <c r="L46" i="1"/>
  <c r="M11" i="1"/>
  <c r="BK11" i="1" s="1"/>
  <c r="O12" i="1"/>
  <c r="BM12" i="1" s="1"/>
  <c r="N12" i="1"/>
  <c r="BL12" i="1" s="1"/>
  <c r="M9" i="1"/>
  <c r="BK9" i="1" s="1"/>
  <c r="E8" i="1"/>
  <c r="BG8" i="1" s="1"/>
  <c r="R13" i="1"/>
  <c r="BP13" i="1" s="1"/>
  <c r="C26" i="2"/>
  <c r="C19" i="2"/>
  <c r="C20" i="2" s="1"/>
  <c r="C131" i="2" l="1"/>
  <c r="C114" i="2"/>
  <c r="C116" i="2" s="1"/>
  <c r="P65" i="21"/>
  <c r="N65" i="21"/>
  <c r="R65" i="21" s="1"/>
  <c r="O65" i="21"/>
  <c r="P4" i="4"/>
  <c r="P6" i="4" s="1"/>
  <c r="O6" i="4"/>
  <c r="AF3" i="4" s="1"/>
  <c r="Q62" i="21"/>
  <c r="I65" i="21"/>
  <c r="BN142" i="1"/>
  <c r="BN140" i="1"/>
  <c r="C60" i="16"/>
  <c r="C52" i="16"/>
  <c r="D52" i="16"/>
  <c r="F52" i="16"/>
  <c r="F60" i="16"/>
  <c r="E52" i="16"/>
  <c r="D60" i="16"/>
  <c r="E60" i="16"/>
  <c r="BK138" i="1"/>
  <c r="BM138" i="1"/>
  <c r="BN138" i="1"/>
  <c r="BL138" i="1"/>
  <c r="AC4" i="4"/>
  <c r="AC10" i="4" s="1"/>
  <c r="Y25" i="16"/>
  <c r="Z25" i="16"/>
  <c r="AA25" i="16"/>
  <c r="AC25" i="16"/>
  <c r="X25" i="16"/>
  <c r="W25" i="16"/>
  <c r="T54" i="16"/>
  <c r="AA28" i="16"/>
  <c r="X28" i="16"/>
  <c r="AC28" i="16"/>
  <c r="W28" i="16"/>
  <c r="J21" i="16"/>
  <c r="Z28" i="16"/>
  <c r="AB28" i="16"/>
  <c r="D48" i="16"/>
  <c r="C132" i="2"/>
  <c r="L38" i="1" s="1"/>
  <c r="D129" i="2"/>
  <c r="AD14" i="16"/>
  <c r="M6" i="1"/>
  <c r="BK6" i="1" s="1"/>
  <c r="Q8" i="1"/>
  <c r="BO8" i="1" s="1"/>
  <c r="AA26" i="16"/>
  <c r="J19" i="16"/>
  <c r="AB26" i="16"/>
  <c r="W26" i="16"/>
  <c r="Z26" i="16"/>
  <c r="Y26" i="16"/>
  <c r="X26" i="16"/>
  <c r="F23" i="5"/>
  <c r="F21" i="5"/>
  <c r="E23" i="5"/>
  <c r="J17" i="16"/>
  <c r="E16" i="5"/>
  <c r="J11" i="16"/>
  <c r="E21" i="5"/>
  <c r="J15" i="16"/>
  <c r="J49" i="16" s="1"/>
  <c r="J12" i="16"/>
  <c r="E22" i="5"/>
  <c r="J16" i="16"/>
  <c r="E18" i="5"/>
  <c r="J20" i="16"/>
  <c r="J18" i="16"/>
  <c r="BO142" i="1"/>
  <c r="L54" i="1"/>
  <c r="L53" i="1"/>
  <c r="F27" i="5"/>
  <c r="F17" i="5"/>
  <c r="E27" i="5"/>
  <c r="E17" i="5"/>
  <c r="F25" i="5"/>
  <c r="E25" i="5"/>
  <c r="F26" i="5"/>
  <c r="E26" i="5"/>
  <c r="F22" i="5"/>
  <c r="L63" i="1"/>
  <c r="T62" i="1"/>
  <c r="S62" i="1"/>
  <c r="BB78" i="1"/>
  <c r="AX78" i="1"/>
  <c r="AY78" i="1"/>
  <c r="BC78" i="1"/>
  <c r="AW78" i="1"/>
  <c r="BA78" i="1"/>
  <c r="AZ78" i="1"/>
  <c r="AV78" i="1"/>
  <c r="AZ125" i="1"/>
  <c r="AV125" i="1"/>
  <c r="BB125" i="1"/>
  <c r="AW125" i="1"/>
  <c r="AX125" i="1"/>
  <c r="BC125" i="1"/>
  <c r="BA125" i="1"/>
  <c r="AY125" i="1"/>
  <c r="AZ76" i="1"/>
  <c r="AV76" i="1"/>
  <c r="BA76" i="1"/>
  <c r="AY76" i="1"/>
  <c r="AX76" i="1"/>
  <c r="AW76" i="1"/>
  <c r="BC76" i="1"/>
  <c r="BB76" i="1"/>
  <c r="BB127" i="1"/>
  <c r="AX127" i="1"/>
  <c r="AZ127" i="1"/>
  <c r="BA127" i="1"/>
  <c r="AY127" i="1"/>
  <c r="AW127" i="1"/>
  <c r="BC127" i="1"/>
  <c r="AV127" i="1"/>
  <c r="BC77" i="1"/>
  <c r="AY77" i="1"/>
  <c r="BB77" i="1"/>
  <c r="AW77" i="1"/>
  <c r="BA77" i="1"/>
  <c r="AV77" i="1"/>
  <c r="AZ77" i="1"/>
  <c r="AX77" i="1"/>
  <c r="BC126" i="1"/>
  <c r="AY126" i="1"/>
  <c r="AX126" i="1"/>
  <c r="BB126" i="1"/>
  <c r="AV126" i="1"/>
  <c r="BA126" i="1"/>
  <c r="AZ126" i="1"/>
  <c r="W27" i="5" s="1"/>
  <c r="AW126" i="1"/>
  <c r="BB123" i="1"/>
  <c r="AX123" i="1"/>
  <c r="AY123" i="1"/>
  <c r="BA123" i="1"/>
  <c r="AZ123" i="1"/>
  <c r="AW123" i="1"/>
  <c r="BC123" i="1"/>
  <c r="AV123" i="1"/>
  <c r="BA119" i="1"/>
  <c r="AW119" i="1"/>
  <c r="AY119" i="1"/>
  <c r="AZ119" i="1"/>
  <c r="AX119" i="1"/>
  <c r="BC119" i="1"/>
  <c r="BB119" i="1"/>
  <c r="AV119" i="1"/>
  <c r="BC93" i="1"/>
  <c r="AY93" i="1"/>
  <c r="AX93" i="1"/>
  <c r="AW93" i="1"/>
  <c r="BB93" i="1"/>
  <c r="AV93" i="1"/>
  <c r="BA93" i="1"/>
  <c r="AZ93" i="1"/>
  <c r="BA75" i="1"/>
  <c r="AW75" i="1"/>
  <c r="AY75" i="1"/>
  <c r="BC75" i="1"/>
  <c r="AX75" i="1"/>
  <c r="AV75" i="1"/>
  <c r="BB75" i="1"/>
  <c r="AZ75" i="1"/>
  <c r="BA101" i="1"/>
  <c r="AW101" i="1"/>
  <c r="BC101" i="1"/>
  <c r="AX101" i="1"/>
  <c r="AZ101" i="1"/>
  <c r="AY101" i="1"/>
  <c r="AV101" i="1"/>
  <c r="BB101" i="1"/>
  <c r="BB74" i="1"/>
  <c r="AX74" i="1"/>
  <c r="BC74" i="1"/>
  <c r="AW74" i="1"/>
  <c r="BA74" i="1"/>
  <c r="AV74" i="1"/>
  <c r="AZ74" i="1"/>
  <c r="AY74" i="1"/>
  <c r="AZ120" i="1"/>
  <c r="AV120" i="1"/>
  <c r="BA120" i="1"/>
  <c r="AX120" i="1"/>
  <c r="BC120" i="1"/>
  <c r="AW120" i="1"/>
  <c r="BB120" i="1"/>
  <c r="AY120" i="1"/>
  <c r="BA85" i="1"/>
  <c r="AW85" i="1"/>
  <c r="AZ85" i="1"/>
  <c r="AY85" i="1"/>
  <c r="BC85" i="1"/>
  <c r="BB85" i="1"/>
  <c r="AX85" i="1"/>
  <c r="AV85" i="1"/>
  <c r="BB100" i="1"/>
  <c r="AX100" i="1"/>
  <c r="BA100" i="1"/>
  <c r="AV100" i="1"/>
  <c r="BC100" i="1"/>
  <c r="AZ100" i="1"/>
  <c r="AY100" i="1"/>
  <c r="AW100" i="1"/>
  <c r="BC73" i="1"/>
  <c r="Z18" i="5" s="1"/>
  <c r="AY73" i="1"/>
  <c r="V18" i="5" s="1"/>
  <c r="BA73" i="1"/>
  <c r="X18" i="5" s="1"/>
  <c r="AV73" i="1"/>
  <c r="S18" i="5" s="1"/>
  <c r="AZ73" i="1"/>
  <c r="W18" i="5" s="1"/>
  <c r="BB73" i="1"/>
  <c r="Y18" i="5" s="1"/>
  <c r="AX73" i="1"/>
  <c r="U18" i="5" s="1"/>
  <c r="AW73" i="1"/>
  <c r="T18" i="5" s="1"/>
  <c r="BA124" i="1"/>
  <c r="AW124" i="1"/>
  <c r="AZ124" i="1"/>
  <c r="AY124" i="1"/>
  <c r="AX124" i="1"/>
  <c r="BC124" i="1"/>
  <c r="AV124" i="1"/>
  <c r="BB124" i="1"/>
  <c r="BC122" i="1"/>
  <c r="AY122" i="1"/>
  <c r="BB122" i="1"/>
  <c r="AW122" i="1"/>
  <c r="AV122" i="1"/>
  <c r="BA122" i="1"/>
  <c r="AZ122" i="1"/>
  <c r="AX122" i="1"/>
  <c r="BB117" i="1"/>
  <c r="AX117" i="1"/>
  <c r="BC117" i="1"/>
  <c r="AW117" i="1"/>
  <c r="BA117" i="1"/>
  <c r="AZ117" i="1"/>
  <c r="AY117" i="1"/>
  <c r="AV117" i="1"/>
  <c r="AZ102" i="1"/>
  <c r="AV102" i="1"/>
  <c r="AY102" i="1"/>
  <c r="AX102" i="1"/>
  <c r="BC102" i="1"/>
  <c r="AW102" i="1"/>
  <c r="BB102" i="1"/>
  <c r="BA102" i="1"/>
  <c r="AP78" i="1"/>
  <c r="AL78" i="1"/>
  <c r="AK78" i="1"/>
  <c r="AO78" i="1"/>
  <c r="AI78" i="1"/>
  <c r="AN78" i="1"/>
  <c r="AM78" i="1"/>
  <c r="AJ78" i="1"/>
  <c r="AP125" i="1"/>
  <c r="AL125" i="1"/>
  <c r="AK125" i="1"/>
  <c r="AM125" i="1"/>
  <c r="AJ125" i="1"/>
  <c r="AI125" i="1"/>
  <c r="AO125" i="1"/>
  <c r="AN125" i="1"/>
  <c r="AP76" i="1"/>
  <c r="AL76" i="1"/>
  <c r="AK76" i="1"/>
  <c r="AM76" i="1"/>
  <c r="AJ76" i="1"/>
  <c r="AO76" i="1"/>
  <c r="AI76" i="1"/>
  <c r="AN76" i="1"/>
  <c r="AP127" i="1"/>
  <c r="AL127" i="1"/>
  <c r="AK127" i="1"/>
  <c r="AJ127" i="1"/>
  <c r="AO127" i="1"/>
  <c r="AI127" i="1"/>
  <c r="AN127" i="1"/>
  <c r="AM127" i="1"/>
  <c r="AP77" i="1"/>
  <c r="AL77" i="1"/>
  <c r="AN77" i="1"/>
  <c r="AI77" i="1"/>
  <c r="AJ77" i="1"/>
  <c r="AM77" i="1"/>
  <c r="AK77" i="1"/>
  <c r="AO77" i="1"/>
  <c r="AP126" i="1"/>
  <c r="O27" i="5" s="1"/>
  <c r="AL126" i="1"/>
  <c r="AN126" i="1"/>
  <c r="AI126" i="1"/>
  <c r="AK126" i="1"/>
  <c r="AJ126" i="1"/>
  <c r="AO126" i="1"/>
  <c r="AM126" i="1"/>
  <c r="L27" i="5" s="1"/>
  <c r="AP123" i="1"/>
  <c r="S21" i="16" s="1"/>
  <c r="AL123" i="1"/>
  <c r="AK123" i="1"/>
  <c r="AN123" i="1"/>
  <c r="Q21" i="16" s="1"/>
  <c r="AM123" i="1"/>
  <c r="P21" i="16" s="1"/>
  <c r="AJ123" i="1"/>
  <c r="M21" i="16" s="1"/>
  <c r="AI123" i="1"/>
  <c r="AO123" i="1"/>
  <c r="R21" i="16" s="1"/>
  <c r="AP119" i="1"/>
  <c r="AL119" i="1"/>
  <c r="AN119" i="1"/>
  <c r="AI119" i="1"/>
  <c r="AJ119" i="1"/>
  <c r="AO119" i="1"/>
  <c r="AM119" i="1"/>
  <c r="AK119" i="1"/>
  <c r="AP93" i="1"/>
  <c r="AL93" i="1"/>
  <c r="AK93" i="1"/>
  <c r="AO93" i="1"/>
  <c r="AI93" i="1"/>
  <c r="AN93" i="1"/>
  <c r="AM93" i="1"/>
  <c r="AJ93" i="1"/>
  <c r="AP75" i="1"/>
  <c r="AL75" i="1"/>
  <c r="AN75" i="1"/>
  <c r="AI75" i="1"/>
  <c r="AM75" i="1"/>
  <c r="AK75" i="1"/>
  <c r="AJ75" i="1"/>
  <c r="AO75" i="1"/>
  <c r="M30" i="1"/>
  <c r="AP101" i="1"/>
  <c r="AL101" i="1"/>
  <c r="AK101" i="1"/>
  <c r="AJ101" i="1"/>
  <c r="AO101" i="1"/>
  <c r="AI101" i="1"/>
  <c r="AN101" i="1"/>
  <c r="AM101" i="1"/>
  <c r="AP74" i="1"/>
  <c r="AL74" i="1"/>
  <c r="AK74" i="1"/>
  <c r="AN74" i="1"/>
  <c r="AM74" i="1"/>
  <c r="AJ74" i="1"/>
  <c r="AO74" i="1"/>
  <c r="AI74" i="1"/>
  <c r="AP120" i="1"/>
  <c r="AL120" i="1"/>
  <c r="AK120" i="1"/>
  <c r="AO120" i="1"/>
  <c r="AI120" i="1"/>
  <c r="AN120" i="1"/>
  <c r="AM120" i="1"/>
  <c r="AJ120" i="1"/>
  <c r="AP85" i="1"/>
  <c r="AL85" i="1"/>
  <c r="AN85" i="1"/>
  <c r="AI85" i="1"/>
  <c r="AM85" i="1"/>
  <c r="AK85" i="1"/>
  <c r="AJ85" i="1"/>
  <c r="AO85" i="1"/>
  <c r="AP100" i="1"/>
  <c r="AL100" i="1"/>
  <c r="AN100" i="1"/>
  <c r="AI100" i="1"/>
  <c r="AK100" i="1"/>
  <c r="AJ100" i="1"/>
  <c r="AO100" i="1"/>
  <c r="AM100" i="1"/>
  <c r="AP73" i="1"/>
  <c r="AL73" i="1"/>
  <c r="AN73" i="1"/>
  <c r="AI73" i="1"/>
  <c r="AO73" i="1"/>
  <c r="AM73" i="1"/>
  <c r="AK73" i="1"/>
  <c r="AJ73" i="1"/>
  <c r="AP124" i="1"/>
  <c r="AL124" i="1"/>
  <c r="AN124" i="1"/>
  <c r="AI124" i="1"/>
  <c r="AM124" i="1"/>
  <c r="AK124" i="1"/>
  <c r="AO124" i="1"/>
  <c r="AJ124" i="1"/>
  <c r="AP122" i="1"/>
  <c r="AL122" i="1"/>
  <c r="AN122" i="1"/>
  <c r="AI122" i="1"/>
  <c r="AO122" i="1"/>
  <c r="AM122" i="1"/>
  <c r="AK122" i="1"/>
  <c r="AJ122" i="1"/>
  <c r="AP117" i="1"/>
  <c r="AL117" i="1"/>
  <c r="AK117" i="1"/>
  <c r="AJ117" i="1"/>
  <c r="AO117" i="1"/>
  <c r="AI117" i="1"/>
  <c r="AN117" i="1"/>
  <c r="AM117" i="1"/>
  <c r="AP102" i="1"/>
  <c r="AL102" i="1"/>
  <c r="AN102" i="1"/>
  <c r="AI102" i="1"/>
  <c r="AJ102" i="1"/>
  <c r="AO102" i="1"/>
  <c r="AM102" i="1"/>
  <c r="AK102" i="1"/>
  <c r="L89" i="1"/>
  <c r="BJ89" i="1" s="1"/>
  <c r="L58" i="1"/>
  <c r="M46" i="1"/>
  <c r="M50" i="1"/>
  <c r="BK50" i="1" s="1"/>
  <c r="M51" i="1"/>
  <c r="BK51" i="1" s="1"/>
  <c r="N50" i="1"/>
  <c r="BL50" i="1" s="1"/>
  <c r="N51" i="1"/>
  <c r="BL51" i="1" s="1"/>
  <c r="L51" i="1"/>
  <c r="BJ51" i="1" s="1"/>
  <c r="L50" i="1"/>
  <c r="BJ50" i="1" s="1"/>
  <c r="S12" i="1"/>
  <c r="T12" i="1"/>
  <c r="S13" i="1"/>
  <c r="T13" i="1"/>
  <c r="S11" i="1"/>
  <c r="T11" i="1"/>
  <c r="S52" i="1"/>
  <c r="T52" i="1"/>
  <c r="S43" i="1"/>
  <c r="T43" i="1"/>
  <c r="S9" i="1"/>
  <c r="T9" i="1"/>
  <c r="C136" i="2"/>
  <c r="F136" i="2" s="1"/>
  <c r="D128" i="2"/>
  <c r="J19" i="22" s="1"/>
  <c r="C135" i="2"/>
  <c r="F135" i="2" s="1"/>
  <c r="C104" i="2"/>
  <c r="C107" i="2" s="1"/>
  <c r="C93" i="2"/>
  <c r="D127" i="2"/>
  <c r="C140" i="2"/>
  <c r="C139" i="2"/>
  <c r="R32" i="1"/>
  <c r="C99" i="2"/>
  <c r="L49" i="1"/>
  <c r="BK47" i="1"/>
  <c r="M49" i="1"/>
  <c r="BL47" i="1"/>
  <c r="N49" i="1"/>
  <c r="O8" i="1"/>
  <c r="BM8" i="1" s="1"/>
  <c r="P8" i="1"/>
  <c r="BN8" i="1" s="1"/>
  <c r="C168" i="2"/>
  <c r="N8" i="1"/>
  <c r="BL8" i="1" s="1"/>
  <c r="H42" i="21" l="1"/>
  <c r="T42" i="21" s="1"/>
  <c r="H41" i="21"/>
  <c r="T41" i="21" s="1"/>
  <c r="E129" i="2"/>
  <c r="C296" i="2" s="1"/>
  <c r="J20" i="22"/>
  <c r="Q65" i="21"/>
  <c r="G81" i="21"/>
  <c r="S81" i="21" s="1"/>
  <c r="BJ47" i="1"/>
  <c r="C8" i="16"/>
  <c r="G42" i="21"/>
  <c r="S42" i="21" s="1"/>
  <c r="G53" i="21"/>
  <c r="S53" i="21" s="1"/>
  <c r="G76" i="21"/>
  <c r="S76" i="21" s="1"/>
  <c r="G51" i="21"/>
  <c r="S51" i="21" s="1"/>
  <c r="G79" i="21"/>
  <c r="S79" i="21" s="1"/>
  <c r="G23" i="21"/>
  <c r="S23" i="21" s="1"/>
  <c r="G78" i="21"/>
  <c r="S78" i="21" s="1"/>
  <c r="G52" i="21"/>
  <c r="S52" i="21" s="1"/>
  <c r="G26" i="21"/>
  <c r="S26" i="21" s="1"/>
  <c r="G54" i="21"/>
  <c r="S54" i="21" s="1"/>
  <c r="G25" i="21"/>
  <c r="S25" i="21" s="1"/>
  <c r="G82" i="21"/>
  <c r="S82" i="21" s="1"/>
  <c r="G41" i="21"/>
  <c r="S41" i="21" s="1"/>
  <c r="G24" i="21"/>
  <c r="S24" i="21" s="1"/>
  <c r="Q4" i="4"/>
  <c r="Q6" i="4" s="1"/>
  <c r="AG3" i="4" s="1"/>
  <c r="AE9" i="4" s="1"/>
  <c r="AE12" i="4" s="1"/>
  <c r="AF4" i="4"/>
  <c r="AD9" i="4"/>
  <c r="S6" i="1"/>
  <c r="AK6" i="1" s="1"/>
  <c r="E127" i="2"/>
  <c r="J16" i="22"/>
  <c r="E128" i="2"/>
  <c r="H28" i="21"/>
  <c r="T28" i="21" s="1"/>
  <c r="G28" i="21"/>
  <c r="S28" i="21" s="1"/>
  <c r="T6" i="1"/>
  <c r="BB6" i="1" s="1"/>
  <c r="D4" i="16"/>
  <c r="D46" i="16" s="1"/>
  <c r="D9" i="16"/>
  <c r="BK49" i="1"/>
  <c r="C10" i="16"/>
  <c r="BJ63" i="1"/>
  <c r="E9" i="16"/>
  <c r="BL49" i="1"/>
  <c r="C9" i="16"/>
  <c r="BJ49" i="1"/>
  <c r="BO138" i="1"/>
  <c r="J125" i="1"/>
  <c r="J117" i="1"/>
  <c r="J101" i="1"/>
  <c r="L21" i="16"/>
  <c r="J123" i="1"/>
  <c r="L19" i="16"/>
  <c r="J120" i="1"/>
  <c r="J127" i="1"/>
  <c r="J102" i="1"/>
  <c r="F42" i="21" s="1"/>
  <c r="J122" i="1"/>
  <c r="J124" i="1"/>
  <c r="J73" i="1"/>
  <c r="J100" i="1"/>
  <c r="F41" i="21" s="1"/>
  <c r="J85" i="1"/>
  <c r="F32" i="21" s="1"/>
  <c r="J74" i="1"/>
  <c r="J93" i="1"/>
  <c r="F28" i="21" s="1"/>
  <c r="J78" i="1"/>
  <c r="J75" i="1"/>
  <c r="J119" i="1"/>
  <c r="J126" i="1"/>
  <c r="J77" i="1"/>
  <c r="J76" i="1"/>
  <c r="J51" i="16"/>
  <c r="AD25" i="16"/>
  <c r="AD28" i="16"/>
  <c r="P27" i="21"/>
  <c r="O21" i="16"/>
  <c r="K27" i="5"/>
  <c r="N21" i="16"/>
  <c r="J52" i="16"/>
  <c r="J60" i="16"/>
  <c r="J48" i="16"/>
  <c r="L37" i="1"/>
  <c r="R33" i="1"/>
  <c r="R34" i="1"/>
  <c r="P19" i="16"/>
  <c r="R18" i="16"/>
  <c r="M18" i="16"/>
  <c r="S19" i="16"/>
  <c r="D8" i="16"/>
  <c r="N18" i="16"/>
  <c r="N19" i="16"/>
  <c r="R19" i="16"/>
  <c r="E8" i="16"/>
  <c r="M19" i="16"/>
  <c r="AD26" i="16"/>
  <c r="T23" i="5"/>
  <c r="S21" i="5"/>
  <c r="V21" i="5"/>
  <c r="W23" i="5"/>
  <c r="X23" i="5"/>
  <c r="Y21" i="5"/>
  <c r="Z21" i="5"/>
  <c r="S23" i="5"/>
  <c r="Z23" i="5"/>
  <c r="X21" i="5"/>
  <c r="U21" i="5"/>
  <c r="V23" i="5"/>
  <c r="Y23" i="5"/>
  <c r="U23" i="5"/>
  <c r="W21" i="5"/>
  <c r="T21" i="5"/>
  <c r="Q19" i="16"/>
  <c r="O19" i="16"/>
  <c r="Q18" i="16"/>
  <c r="Q20" i="16"/>
  <c r="Q52" i="16" s="1"/>
  <c r="V16" i="5"/>
  <c r="W16" i="5"/>
  <c r="Z16" i="5"/>
  <c r="S16" i="5"/>
  <c r="U16" i="5"/>
  <c r="T16" i="5"/>
  <c r="P18" i="16"/>
  <c r="X16" i="5"/>
  <c r="Y16" i="5"/>
  <c r="M20" i="16"/>
  <c r="M52" i="16" s="1"/>
  <c r="O18" i="16"/>
  <c r="O20" i="16"/>
  <c r="L20" i="16"/>
  <c r="R12" i="16"/>
  <c r="N12" i="16"/>
  <c r="P16" i="16"/>
  <c r="P12" i="16"/>
  <c r="R16" i="16"/>
  <c r="L12" i="16"/>
  <c r="O17" i="5"/>
  <c r="S12" i="16"/>
  <c r="H21" i="5"/>
  <c r="L15" i="16"/>
  <c r="L49" i="16" s="1"/>
  <c r="O21" i="5"/>
  <c r="S15" i="16"/>
  <c r="S49" i="16" s="1"/>
  <c r="N20" i="16"/>
  <c r="N16" i="5"/>
  <c r="R11" i="16"/>
  <c r="J16" i="5"/>
  <c r="N11" i="16"/>
  <c r="M23" i="5"/>
  <c r="Q17" i="16"/>
  <c r="J23" i="5"/>
  <c r="N17" i="16"/>
  <c r="I21" i="5"/>
  <c r="M15" i="16"/>
  <c r="M49" i="16" s="1"/>
  <c r="N21" i="5"/>
  <c r="R15" i="16"/>
  <c r="R49" i="16" s="1"/>
  <c r="S89" i="1"/>
  <c r="C13" i="16"/>
  <c r="C50" i="16" s="1"/>
  <c r="S18" i="16"/>
  <c r="R20" i="16"/>
  <c r="R52" i="16" s="1"/>
  <c r="S20" i="16"/>
  <c r="S52" i="16" s="1"/>
  <c r="N18" i="5"/>
  <c r="O18" i="5"/>
  <c r="N16" i="16"/>
  <c r="S16" i="16"/>
  <c r="L16" i="5"/>
  <c r="P11" i="16"/>
  <c r="P48" i="16" s="1"/>
  <c r="O16" i="5"/>
  <c r="S11" i="16"/>
  <c r="N23" i="5"/>
  <c r="R17" i="16"/>
  <c r="O23" i="5"/>
  <c r="S17" i="16"/>
  <c r="K17" i="5"/>
  <c r="O12" i="16"/>
  <c r="M21" i="5"/>
  <c r="Q15" i="16"/>
  <c r="Q49" i="16" s="1"/>
  <c r="K21" i="5"/>
  <c r="O15" i="16"/>
  <c r="O49" i="16" s="1"/>
  <c r="I18" i="5"/>
  <c r="H18" i="5"/>
  <c r="L16" i="16"/>
  <c r="H16" i="5"/>
  <c r="L11" i="16"/>
  <c r="M16" i="5"/>
  <c r="Q11" i="16"/>
  <c r="L23" i="5"/>
  <c r="P17" i="16"/>
  <c r="I23" i="5"/>
  <c r="M17" i="16"/>
  <c r="J18" i="5"/>
  <c r="M18" i="5"/>
  <c r="Q16" i="16"/>
  <c r="L18" i="16"/>
  <c r="P20" i="16"/>
  <c r="P52" i="16" s="1"/>
  <c r="L18" i="5"/>
  <c r="K18" i="5"/>
  <c r="M16" i="16"/>
  <c r="O16" i="16"/>
  <c r="I16" i="5"/>
  <c r="M11" i="16"/>
  <c r="K16" i="5"/>
  <c r="O11" i="16"/>
  <c r="H23" i="5"/>
  <c r="L17" i="16"/>
  <c r="K23" i="5"/>
  <c r="O17" i="16"/>
  <c r="M12" i="16"/>
  <c r="Q12" i="16"/>
  <c r="L21" i="5"/>
  <c r="P15" i="16"/>
  <c r="P49" i="16" s="1"/>
  <c r="J21" i="5"/>
  <c r="N15" i="16"/>
  <c r="M26" i="5"/>
  <c r="O26" i="5"/>
  <c r="J26" i="5"/>
  <c r="W26" i="5"/>
  <c r="K26" i="5"/>
  <c r="Q35" i="1"/>
  <c r="P35" i="1"/>
  <c r="O35" i="1"/>
  <c r="N35" i="1"/>
  <c r="Q36" i="1"/>
  <c r="P36" i="1"/>
  <c r="O36" i="1"/>
  <c r="N36" i="1"/>
  <c r="M37" i="1"/>
  <c r="M38" i="1"/>
  <c r="M54" i="1"/>
  <c r="M53" i="1"/>
  <c r="L60" i="1"/>
  <c r="L68" i="1"/>
  <c r="I22" i="5"/>
  <c r="H26" i="5"/>
  <c r="Z26" i="5"/>
  <c r="U27" i="5"/>
  <c r="H25" i="5"/>
  <c r="V25" i="5"/>
  <c r="Y17" i="5"/>
  <c r="V26" i="5"/>
  <c r="I17" i="5"/>
  <c r="N27" i="5"/>
  <c r="O25" i="5"/>
  <c r="S17" i="5"/>
  <c r="T26" i="5"/>
  <c r="U26" i="5"/>
  <c r="N25" i="5"/>
  <c r="I26" i="5"/>
  <c r="I27" i="5"/>
  <c r="U25" i="5"/>
  <c r="V27" i="5"/>
  <c r="L26" i="5"/>
  <c r="S27" i="5"/>
  <c r="J17" i="5"/>
  <c r="J27" i="5"/>
  <c r="U17" i="5"/>
  <c r="X17" i="5"/>
  <c r="Y26" i="5"/>
  <c r="H17" i="5"/>
  <c r="W17" i="5"/>
  <c r="Z17" i="5"/>
  <c r="S26" i="5"/>
  <c r="T27" i="5"/>
  <c r="Y27" i="5"/>
  <c r="J22" i="5"/>
  <c r="X27" i="5"/>
  <c r="I25" i="5"/>
  <c r="X25" i="5"/>
  <c r="W25" i="5"/>
  <c r="J25" i="5"/>
  <c r="H27" i="5"/>
  <c r="T25" i="5"/>
  <c r="X26" i="5"/>
  <c r="K25" i="5"/>
  <c r="M27" i="5"/>
  <c r="Z25" i="5"/>
  <c r="L25" i="5"/>
  <c r="Y25" i="5"/>
  <c r="Z27" i="5"/>
  <c r="M25" i="5"/>
  <c r="N26" i="5"/>
  <c r="S25" i="5"/>
  <c r="K22" i="5"/>
  <c r="X22" i="5"/>
  <c r="O22" i="5"/>
  <c r="U22" i="5"/>
  <c r="L22" i="5"/>
  <c r="Y22" i="5"/>
  <c r="N22" i="5"/>
  <c r="T22" i="5"/>
  <c r="V22" i="5"/>
  <c r="W22" i="5"/>
  <c r="H22" i="5"/>
  <c r="Z22" i="5"/>
  <c r="M22" i="5"/>
  <c r="S22" i="5"/>
  <c r="N17" i="5"/>
  <c r="M17" i="5"/>
  <c r="V17" i="5"/>
  <c r="T17" i="5"/>
  <c r="L17" i="5"/>
  <c r="P34" i="1"/>
  <c r="Q34" i="1"/>
  <c r="O34" i="1"/>
  <c r="P32" i="1"/>
  <c r="O32" i="1"/>
  <c r="Q32" i="1"/>
  <c r="P33" i="1"/>
  <c r="O33" i="1"/>
  <c r="Q33" i="1"/>
  <c r="C95" i="2"/>
  <c r="C122" i="2" s="1"/>
  <c r="C303" i="2" s="1"/>
  <c r="P31" i="1"/>
  <c r="O31" i="1"/>
  <c r="Q31" i="1"/>
  <c r="P59" i="1"/>
  <c r="O59" i="1"/>
  <c r="Q59" i="1"/>
  <c r="AV62" i="1"/>
  <c r="BC62" i="1"/>
  <c r="AY62" i="1"/>
  <c r="AX62" i="1"/>
  <c r="AZ62" i="1"/>
  <c r="BB62" i="1"/>
  <c r="AW62" i="1"/>
  <c r="BA62" i="1"/>
  <c r="T63" i="1"/>
  <c r="S63" i="1"/>
  <c r="AO62" i="1"/>
  <c r="AP62" i="1"/>
  <c r="AJ62" i="1"/>
  <c r="AN62" i="1"/>
  <c r="AL62" i="1"/>
  <c r="AM62" i="1"/>
  <c r="AI62" i="1"/>
  <c r="AK62" i="1"/>
  <c r="L40" i="1"/>
  <c r="L42" i="1" s="1"/>
  <c r="AA24" i="5"/>
  <c r="AA18" i="5"/>
  <c r="AR117" i="1"/>
  <c r="BE117" i="1"/>
  <c r="BE122" i="1"/>
  <c r="BE74" i="1"/>
  <c r="BE93" i="1"/>
  <c r="BE119" i="1"/>
  <c r="BE127" i="1"/>
  <c r="BE101" i="1"/>
  <c r="BE123" i="1"/>
  <c r="N30" i="1"/>
  <c r="BE100" i="1"/>
  <c r="BE120" i="1"/>
  <c r="BE77" i="1"/>
  <c r="BE102" i="1"/>
  <c r="BE73" i="1"/>
  <c r="BE125" i="1"/>
  <c r="BE126" i="1"/>
  <c r="BE124" i="1"/>
  <c r="BE85" i="1"/>
  <c r="BE75" i="1"/>
  <c r="BE76" i="1"/>
  <c r="BE78" i="1"/>
  <c r="BB43" i="1"/>
  <c r="AX43" i="1"/>
  <c r="BC43" i="1"/>
  <c r="AW43" i="1"/>
  <c r="BA43" i="1"/>
  <c r="AV43" i="1"/>
  <c r="AZ43" i="1"/>
  <c r="AY43" i="1"/>
  <c r="AZ11" i="1"/>
  <c r="AV11" i="1"/>
  <c r="AY11" i="1"/>
  <c r="BC11" i="1"/>
  <c r="AX11" i="1"/>
  <c r="BB11" i="1"/>
  <c r="BA11" i="1"/>
  <c r="AW11" i="1"/>
  <c r="BB13" i="1"/>
  <c r="AX13" i="1"/>
  <c r="BC13" i="1"/>
  <c r="AW13" i="1"/>
  <c r="BA13" i="1"/>
  <c r="AV13" i="1"/>
  <c r="AY13" i="1"/>
  <c r="AZ13" i="1"/>
  <c r="AR85" i="1"/>
  <c r="AR74" i="1"/>
  <c r="AR119" i="1"/>
  <c r="AR126" i="1"/>
  <c r="AR77" i="1"/>
  <c r="T89" i="1"/>
  <c r="P24" i="5"/>
  <c r="AR102" i="1"/>
  <c r="AR123" i="1"/>
  <c r="AR76" i="1"/>
  <c r="BA9" i="1"/>
  <c r="AW9" i="1"/>
  <c r="BC9" i="1"/>
  <c r="AX9" i="1"/>
  <c r="BB9" i="1"/>
  <c r="AV9" i="1"/>
  <c r="AZ9" i="1"/>
  <c r="AY9" i="1"/>
  <c r="BB52" i="1"/>
  <c r="AX52" i="1"/>
  <c r="BA52" i="1"/>
  <c r="AV52" i="1"/>
  <c r="AZ52" i="1"/>
  <c r="AY52" i="1"/>
  <c r="AW52" i="1"/>
  <c r="BC52" i="1"/>
  <c r="BC12" i="1"/>
  <c r="AY12" i="1"/>
  <c r="BA12" i="1"/>
  <c r="AV12" i="1"/>
  <c r="AZ12" i="1"/>
  <c r="AW12" i="1"/>
  <c r="BB12" i="1"/>
  <c r="AX12" i="1"/>
  <c r="AR122" i="1"/>
  <c r="AR124" i="1"/>
  <c r="AR73" i="1"/>
  <c r="AR93" i="1"/>
  <c r="AR127" i="1"/>
  <c r="AR125" i="1"/>
  <c r="AR100" i="1"/>
  <c r="AR120" i="1"/>
  <c r="AR101" i="1"/>
  <c r="AR75" i="1"/>
  <c r="AR78" i="1"/>
  <c r="AO43" i="1"/>
  <c r="AK43" i="1"/>
  <c r="AP43" i="1"/>
  <c r="AJ43" i="1"/>
  <c r="AN43" i="1"/>
  <c r="AI43" i="1"/>
  <c r="AM43" i="1"/>
  <c r="AL43" i="1"/>
  <c r="AO11" i="1"/>
  <c r="AK11" i="1"/>
  <c r="AP11" i="1"/>
  <c r="AJ11" i="1"/>
  <c r="AN11" i="1"/>
  <c r="AI11" i="1"/>
  <c r="AM11" i="1"/>
  <c r="AL11" i="1"/>
  <c r="AO13" i="1"/>
  <c r="AK13" i="1"/>
  <c r="AP13" i="1"/>
  <c r="AJ13" i="1"/>
  <c r="AN13" i="1"/>
  <c r="AI13" i="1"/>
  <c r="AM13" i="1"/>
  <c r="AL13" i="1"/>
  <c r="AO9" i="1"/>
  <c r="AK9" i="1"/>
  <c r="AM9" i="1"/>
  <c r="AL9" i="1"/>
  <c r="AP9" i="1"/>
  <c r="AJ9" i="1"/>
  <c r="AN9" i="1"/>
  <c r="AI9" i="1"/>
  <c r="AO52" i="1"/>
  <c r="AK52" i="1"/>
  <c r="AM52" i="1"/>
  <c r="AL52" i="1"/>
  <c r="AP52" i="1"/>
  <c r="AJ52" i="1"/>
  <c r="AN52" i="1"/>
  <c r="AI52" i="1"/>
  <c r="AO12" i="1"/>
  <c r="AK12" i="1"/>
  <c r="AM12" i="1"/>
  <c r="AL12" i="1"/>
  <c r="AP12" i="1"/>
  <c r="AJ12" i="1"/>
  <c r="AN12" i="1"/>
  <c r="AI12" i="1"/>
  <c r="M58" i="1"/>
  <c r="N46" i="1"/>
  <c r="T51" i="1"/>
  <c r="S51" i="1"/>
  <c r="S50" i="1"/>
  <c r="T50" i="1"/>
  <c r="S8" i="1"/>
  <c r="T8" i="1"/>
  <c r="S49" i="1"/>
  <c r="T49" i="1"/>
  <c r="S47" i="1"/>
  <c r="T47" i="1"/>
  <c r="M31" i="1"/>
  <c r="BK31" i="1" s="1"/>
  <c r="L31" i="1"/>
  <c r="N31" i="1"/>
  <c r="BL31" i="1" s="1"/>
  <c r="M32" i="1"/>
  <c r="N33" i="1"/>
  <c r="M34" i="1"/>
  <c r="N59" i="1"/>
  <c r="C170" i="2"/>
  <c r="C171" i="2" s="1"/>
  <c r="M59" i="1"/>
  <c r="M33" i="1"/>
  <c r="L33" i="1"/>
  <c r="L59" i="1"/>
  <c r="L32" i="1"/>
  <c r="N32" i="1"/>
  <c r="L34" i="1"/>
  <c r="N34" i="1"/>
  <c r="E127" i="1"/>
  <c r="BG127" i="1" s="1"/>
  <c r="E126" i="1"/>
  <c r="BG126" i="1" s="1"/>
  <c r="E125" i="1"/>
  <c r="BG125" i="1" s="1"/>
  <c r="E124" i="1"/>
  <c r="BG124" i="1" s="1"/>
  <c r="E123" i="1"/>
  <c r="BG123" i="1" s="1"/>
  <c r="E122" i="1"/>
  <c r="BG122" i="1" s="1"/>
  <c r="E120" i="1"/>
  <c r="BG120" i="1" s="1"/>
  <c r="E119" i="1"/>
  <c r="BG119" i="1" s="1"/>
  <c r="E117" i="1"/>
  <c r="BG117" i="1" s="1"/>
  <c r="E109" i="1"/>
  <c r="BG109" i="1" s="1"/>
  <c r="E108" i="1"/>
  <c r="BG108" i="1" s="1"/>
  <c r="E102" i="1"/>
  <c r="BG102" i="1" s="1"/>
  <c r="E101" i="1"/>
  <c r="BG101" i="1" s="1"/>
  <c r="E100" i="1"/>
  <c r="BG100" i="1" s="1"/>
  <c r="E93" i="1"/>
  <c r="BG93" i="1" s="1"/>
  <c r="E90" i="1"/>
  <c r="BG90" i="1" s="1"/>
  <c r="E84" i="1"/>
  <c r="BG84" i="1" s="1"/>
  <c r="E85" i="1"/>
  <c r="BG85" i="1" s="1"/>
  <c r="E78" i="1"/>
  <c r="BG78" i="1" s="1"/>
  <c r="E77" i="1"/>
  <c r="BG77" i="1" s="1"/>
  <c r="E76" i="1"/>
  <c r="BG76" i="1" s="1"/>
  <c r="E75" i="1"/>
  <c r="BG75" i="1" s="1"/>
  <c r="E74" i="1"/>
  <c r="BG74" i="1" s="1"/>
  <c r="E73" i="1"/>
  <c r="BG73" i="1" s="1"/>
  <c r="E67" i="1"/>
  <c r="BG67" i="1" s="1"/>
  <c r="E59" i="1"/>
  <c r="BG59" i="1" s="1"/>
  <c r="E43" i="1"/>
  <c r="BG43" i="1" s="1"/>
  <c r="E34" i="1"/>
  <c r="BG34" i="1" s="1"/>
  <c r="E33" i="1"/>
  <c r="BG33" i="1" s="1"/>
  <c r="E32" i="1"/>
  <c r="BG32" i="1" s="1"/>
  <c r="E31" i="1"/>
  <c r="BG31" i="1" s="1"/>
  <c r="E52" i="1"/>
  <c r="BG52" i="1" s="1"/>
  <c r="E49" i="1"/>
  <c r="BG49" i="1" s="1"/>
  <c r="E47" i="1"/>
  <c r="BG47" i="1" s="1"/>
  <c r="E13" i="1"/>
  <c r="BG13" i="1" s="1"/>
  <c r="E12" i="1"/>
  <c r="BG12" i="1" s="1"/>
  <c r="E11" i="1"/>
  <c r="BG11" i="1" s="1"/>
  <c r="E9" i="1"/>
  <c r="BG9" i="1" s="1"/>
  <c r="E6" i="1"/>
  <c r="BG6" i="1" s="1"/>
  <c r="F127" i="2" l="1"/>
  <c r="M40" i="1"/>
  <c r="M42" i="1" s="1"/>
  <c r="BK42" i="1" s="1"/>
  <c r="R4" i="4"/>
  <c r="R6" i="4" s="1"/>
  <c r="N40" i="1"/>
  <c r="N42" i="1" s="1"/>
  <c r="E7" i="16" s="1"/>
  <c r="E38" i="16" s="1"/>
  <c r="AD10" i="4"/>
  <c r="O25" i="21"/>
  <c r="O26" i="21"/>
  <c r="O78" i="21"/>
  <c r="O79" i="21"/>
  <c r="O76" i="21"/>
  <c r="O42" i="21"/>
  <c r="O81" i="21"/>
  <c r="P41" i="21"/>
  <c r="P83" i="21"/>
  <c r="O24" i="21"/>
  <c r="O82" i="21"/>
  <c r="O54" i="21"/>
  <c r="O52" i="21"/>
  <c r="O53" i="21"/>
  <c r="P42" i="21"/>
  <c r="C96" i="2"/>
  <c r="C98" i="2" s="1"/>
  <c r="D122" i="2"/>
  <c r="D117" i="2"/>
  <c r="D119" i="2" s="1"/>
  <c r="H50" i="21"/>
  <c r="T50" i="21" s="1"/>
  <c r="O23" i="21"/>
  <c r="G27" i="21"/>
  <c r="S27" i="21" s="1"/>
  <c r="O41" i="21"/>
  <c r="G50" i="21"/>
  <c r="S50" i="21" s="1"/>
  <c r="G83" i="21"/>
  <c r="AN6" i="1"/>
  <c r="AJ6" i="1"/>
  <c r="AL6" i="1"/>
  <c r="AO6" i="1"/>
  <c r="G55" i="21"/>
  <c r="O51" i="21"/>
  <c r="N49" i="16"/>
  <c r="L60" i="16"/>
  <c r="G4" i="21"/>
  <c r="J8" i="16"/>
  <c r="AX6" i="1"/>
  <c r="N32" i="21"/>
  <c r="R32" i="21" s="1"/>
  <c r="I32" i="21"/>
  <c r="G71" i="21"/>
  <c r="S71" i="21" s="1"/>
  <c r="G5" i="21"/>
  <c r="G7" i="21"/>
  <c r="G6" i="21"/>
  <c r="G14" i="21"/>
  <c r="S14" i="21" s="1"/>
  <c r="AD12" i="4"/>
  <c r="AV6" i="1"/>
  <c r="L39" i="1"/>
  <c r="L41" i="1" s="1"/>
  <c r="BJ41" i="1" s="1"/>
  <c r="F128" i="2"/>
  <c r="BC6" i="1"/>
  <c r="AM6" i="1"/>
  <c r="AP6" i="1"/>
  <c r="AI6" i="1"/>
  <c r="AY6" i="1"/>
  <c r="AW6" i="1"/>
  <c r="AZ6" i="1"/>
  <c r="BA6" i="1"/>
  <c r="N39" i="1"/>
  <c r="N41" i="1" s="1"/>
  <c r="BL41" i="1" s="1"/>
  <c r="C295" i="2"/>
  <c r="M132" i="1" s="1"/>
  <c r="C117" i="2"/>
  <c r="C119" i="2" s="1"/>
  <c r="M39" i="1"/>
  <c r="M41" i="1" s="1"/>
  <c r="BK41" i="1" s="1"/>
  <c r="F29" i="21"/>
  <c r="N29" i="21" s="1"/>
  <c r="R29" i="21" s="1"/>
  <c r="N28" i="21"/>
  <c r="R28" i="21" s="1"/>
  <c r="I28" i="21"/>
  <c r="F27" i="21"/>
  <c r="N27" i="21" s="1"/>
  <c r="R27" i="21" s="1"/>
  <c r="N23" i="21"/>
  <c r="R23" i="21" s="1"/>
  <c r="I23" i="21"/>
  <c r="N41" i="21"/>
  <c r="R41" i="21" s="1"/>
  <c r="I41" i="21"/>
  <c r="F50" i="21"/>
  <c r="N50" i="21" s="1"/>
  <c r="R50" i="21" s="1"/>
  <c r="N52" i="21"/>
  <c r="R52" i="21" s="1"/>
  <c r="I52" i="21"/>
  <c r="Q52" i="21" s="1"/>
  <c r="O28" i="21"/>
  <c r="G29" i="21"/>
  <c r="N24" i="21"/>
  <c r="R24" i="21" s="1"/>
  <c r="I24" i="21"/>
  <c r="Q24" i="21" s="1"/>
  <c r="N82" i="21"/>
  <c r="R82" i="21" s="1"/>
  <c r="I82" i="21"/>
  <c r="Q82" i="21" s="1"/>
  <c r="N81" i="21"/>
  <c r="R81" i="21" s="1"/>
  <c r="I81" i="21"/>
  <c r="Q81" i="21" s="1"/>
  <c r="N42" i="21"/>
  <c r="R42" i="21" s="1"/>
  <c r="I42" i="21"/>
  <c r="Q42" i="21" s="1"/>
  <c r="N53" i="21"/>
  <c r="R53" i="21" s="1"/>
  <c r="I53" i="21"/>
  <c r="Q53" i="21" s="1"/>
  <c r="N79" i="21"/>
  <c r="R79" i="21" s="1"/>
  <c r="I79" i="21"/>
  <c r="Q79" i="21" s="1"/>
  <c r="N25" i="21"/>
  <c r="R25" i="21" s="1"/>
  <c r="I25" i="21"/>
  <c r="Q25" i="21" s="1"/>
  <c r="P28" i="21"/>
  <c r="H29" i="21"/>
  <c r="N26" i="21"/>
  <c r="R26" i="21" s="1"/>
  <c r="I26" i="21"/>
  <c r="Q26" i="21" s="1"/>
  <c r="N54" i="21"/>
  <c r="R54" i="21" s="1"/>
  <c r="I54" i="21"/>
  <c r="Q54" i="21" s="1"/>
  <c r="F55" i="21"/>
  <c r="N55" i="21" s="1"/>
  <c r="R55" i="21" s="1"/>
  <c r="N51" i="21"/>
  <c r="R51" i="21" s="1"/>
  <c r="I51" i="21"/>
  <c r="N78" i="21"/>
  <c r="R78" i="21" s="1"/>
  <c r="I78" i="21"/>
  <c r="Q78" i="21" s="1"/>
  <c r="N76" i="21"/>
  <c r="R76" i="21" s="1"/>
  <c r="I76" i="21"/>
  <c r="F83" i="21"/>
  <c r="N83" i="21" s="1"/>
  <c r="R83" i="21" s="1"/>
  <c r="BO140" i="1"/>
  <c r="C7" i="16"/>
  <c r="C38" i="16" s="1"/>
  <c r="BJ42" i="1"/>
  <c r="H6" i="16"/>
  <c r="H47" i="16" s="1"/>
  <c r="BO31" i="1"/>
  <c r="G6" i="16"/>
  <c r="G47" i="16" s="1"/>
  <c r="BN31" i="1"/>
  <c r="BJ31" i="1"/>
  <c r="F6" i="16"/>
  <c r="F47" i="16" s="1"/>
  <c r="BM31" i="1"/>
  <c r="S4" i="4"/>
  <c r="S6" i="4" s="1"/>
  <c r="V21" i="16"/>
  <c r="Y21" i="16" s="1"/>
  <c r="J13" i="1"/>
  <c r="F7" i="21" s="1"/>
  <c r="J11" i="1"/>
  <c r="F6" i="21" s="1"/>
  <c r="J12" i="1"/>
  <c r="F71" i="21" s="1"/>
  <c r="J9" i="1"/>
  <c r="F5" i="21" s="1"/>
  <c r="L52" i="16"/>
  <c r="J43" i="1"/>
  <c r="J62" i="1"/>
  <c r="J52" i="1"/>
  <c r="O52" i="16"/>
  <c r="T21" i="16"/>
  <c r="N52" i="16"/>
  <c r="S60" i="16"/>
  <c r="L48" i="16"/>
  <c r="P60" i="16"/>
  <c r="Q60" i="16"/>
  <c r="S48" i="16"/>
  <c r="Q51" i="16"/>
  <c r="R51" i="16"/>
  <c r="S51" i="16"/>
  <c r="O48" i="16"/>
  <c r="N51" i="16"/>
  <c r="N48" i="16"/>
  <c r="N60" i="16"/>
  <c r="M48" i="16"/>
  <c r="Q48" i="16"/>
  <c r="R48" i="16"/>
  <c r="O60" i="16"/>
  <c r="O51" i="16"/>
  <c r="M60" i="16"/>
  <c r="M51" i="16"/>
  <c r="R60" i="16"/>
  <c r="L51" i="16"/>
  <c r="P51" i="16"/>
  <c r="AA23" i="5"/>
  <c r="AA21" i="5"/>
  <c r="J9" i="16"/>
  <c r="F19" i="5"/>
  <c r="AN89" i="1"/>
  <c r="Q13" i="16" s="1"/>
  <c r="Q50" i="16" s="1"/>
  <c r="F13" i="5"/>
  <c r="V18" i="16"/>
  <c r="Y18" i="16" s="1"/>
  <c r="T19" i="16"/>
  <c r="V17" i="16"/>
  <c r="X17" i="16" s="1"/>
  <c r="V11" i="16"/>
  <c r="V20" i="16"/>
  <c r="V16" i="16"/>
  <c r="V15" i="16"/>
  <c r="V12" i="16"/>
  <c r="V19" i="16"/>
  <c r="AA16" i="5"/>
  <c r="AK89" i="1"/>
  <c r="P21" i="5"/>
  <c r="P18" i="5"/>
  <c r="P16" i="5"/>
  <c r="P23" i="5"/>
  <c r="T20" i="16"/>
  <c r="T12" i="16"/>
  <c r="T18" i="16"/>
  <c r="T16" i="16"/>
  <c r="E19" i="5"/>
  <c r="J13" i="16"/>
  <c r="J50" i="16" s="1"/>
  <c r="T11" i="16"/>
  <c r="AO89" i="1"/>
  <c r="AP89" i="1"/>
  <c r="T17" i="16"/>
  <c r="T15" i="16"/>
  <c r="AI89" i="1"/>
  <c r="AL89" i="1"/>
  <c r="E13" i="5"/>
  <c r="J10" i="16"/>
  <c r="AM89" i="1"/>
  <c r="AJ89" i="1"/>
  <c r="M60" i="1"/>
  <c r="M68" i="1"/>
  <c r="N38" i="1"/>
  <c r="N37" i="1"/>
  <c r="N53" i="1"/>
  <c r="N54" i="1"/>
  <c r="AA22" i="5"/>
  <c r="P22" i="5"/>
  <c r="O133" i="1"/>
  <c r="N133" i="1"/>
  <c r="Q133" i="1"/>
  <c r="M133" i="1"/>
  <c r="P133" i="1"/>
  <c r="L133" i="1"/>
  <c r="O158" i="1"/>
  <c r="F67" i="16" s="1"/>
  <c r="F70" i="16" s="1"/>
  <c r="F71" i="16" s="1"/>
  <c r="P158" i="1"/>
  <c r="G67" i="16" s="1"/>
  <c r="N158" i="1"/>
  <c r="E67" i="16" s="1"/>
  <c r="Q158" i="1"/>
  <c r="H67" i="16" s="1"/>
  <c r="AR62" i="1"/>
  <c r="AN63" i="1"/>
  <c r="AI63" i="1"/>
  <c r="AK63" i="1"/>
  <c r="AJ63" i="1"/>
  <c r="AP63" i="1"/>
  <c r="AM63" i="1"/>
  <c r="H5" i="22" s="1"/>
  <c r="AO63" i="1"/>
  <c r="AL63" i="1"/>
  <c r="AY63" i="1"/>
  <c r="BC63" i="1"/>
  <c r="AW63" i="1"/>
  <c r="BA63" i="1"/>
  <c r="BB63" i="1"/>
  <c r="AZ63" i="1"/>
  <c r="AX63" i="1"/>
  <c r="AV63" i="1"/>
  <c r="BE62" i="1"/>
  <c r="AA26" i="5"/>
  <c r="AA17" i="5"/>
  <c r="AA25" i="5"/>
  <c r="AA27" i="5"/>
  <c r="BE13" i="1"/>
  <c r="BE43" i="1"/>
  <c r="O30" i="1"/>
  <c r="BE52" i="1"/>
  <c r="BE11" i="1"/>
  <c r="BE12" i="1"/>
  <c r="BE9" i="1"/>
  <c r="BC51" i="1"/>
  <c r="AY51" i="1"/>
  <c r="AZ51" i="1"/>
  <c r="AX51" i="1"/>
  <c r="AW51" i="1"/>
  <c r="AV51" i="1"/>
  <c r="BB51" i="1"/>
  <c r="BA51" i="1"/>
  <c r="BA49" i="1"/>
  <c r="AW49" i="1"/>
  <c r="BB49" i="1"/>
  <c r="AV49" i="1"/>
  <c r="AZ49" i="1"/>
  <c r="BC49" i="1"/>
  <c r="AY49" i="1"/>
  <c r="AX49" i="1"/>
  <c r="AZ50" i="1"/>
  <c r="AV50" i="1"/>
  <c r="BC50" i="1"/>
  <c r="AX50" i="1"/>
  <c r="BB50" i="1"/>
  <c r="AW50" i="1"/>
  <c r="BA50" i="1"/>
  <c r="AY50" i="1"/>
  <c r="AR12" i="1"/>
  <c r="AR52" i="1"/>
  <c r="AR9" i="1"/>
  <c r="BC89" i="1"/>
  <c r="AY89" i="1"/>
  <c r="AX89" i="1"/>
  <c r="AZ89" i="1"/>
  <c r="AW89" i="1"/>
  <c r="BB89" i="1"/>
  <c r="BA89" i="1"/>
  <c r="AV89" i="1"/>
  <c r="BB47" i="1"/>
  <c r="AX47" i="1"/>
  <c r="AZ47" i="1"/>
  <c r="AY47" i="1"/>
  <c r="BC47" i="1"/>
  <c r="BA47" i="1"/>
  <c r="AW47" i="1"/>
  <c r="AV47" i="1"/>
  <c r="BB8" i="1"/>
  <c r="AX8" i="1"/>
  <c r="BA8" i="1"/>
  <c r="AV8" i="1"/>
  <c r="AZ8" i="1"/>
  <c r="BC8" i="1"/>
  <c r="AY8" i="1"/>
  <c r="AW8" i="1"/>
  <c r="AR13" i="1"/>
  <c r="AR11" i="1"/>
  <c r="AR43" i="1"/>
  <c r="P17" i="5"/>
  <c r="P27" i="5"/>
  <c r="P26" i="5"/>
  <c r="P25" i="5"/>
  <c r="AO50" i="1"/>
  <c r="AK50" i="1"/>
  <c r="AM50" i="1"/>
  <c r="AL50" i="1"/>
  <c r="AP50" i="1"/>
  <c r="AJ50" i="1"/>
  <c r="AN50" i="1"/>
  <c r="AI50" i="1"/>
  <c r="AO47" i="1"/>
  <c r="AK47" i="1"/>
  <c r="AM47" i="1"/>
  <c r="AL47" i="1"/>
  <c r="AP47" i="1"/>
  <c r="AJ47" i="1"/>
  <c r="AN47" i="1"/>
  <c r="AI47" i="1"/>
  <c r="AO8" i="1"/>
  <c r="AK8" i="1"/>
  <c r="AP8" i="1"/>
  <c r="AJ8" i="1"/>
  <c r="AN8" i="1"/>
  <c r="AI8" i="1"/>
  <c r="AM8" i="1"/>
  <c r="AL8" i="1"/>
  <c r="AO49" i="1"/>
  <c r="AK49" i="1"/>
  <c r="AP49" i="1"/>
  <c r="AJ49" i="1"/>
  <c r="AN49" i="1"/>
  <c r="AI49" i="1"/>
  <c r="AM49" i="1"/>
  <c r="AL49" i="1"/>
  <c r="AO51" i="1"/>
  <c r="AK51" i="1"/>
  <c r="AP51" i="1"/>
  <c r="AJ51" i="1"/>
  <c r="AN51" i="1"/>
  <c r="AI51" i="1"/>
  <c r="AM51" i="1"/>
  <c r="H11" i="22" s="1"/>
  <c r="AL51" i="1"/>
  <c r="N58" i="1"/>
  <c r="O46" i="1"/>
  <c r="C308" i="2"/>
  <c r="C310" i="2" s="1"/>
  <c r="D308" i="2"/>
  <c r="D310" i="2" s="1"/>
  <c r="S67" i="1"/>
  <c r="T67" i="1"/>
  <c r="S33" i="1"/>
  <c r="T33" i="1"/>
  <c r="S31" i="1"/>
  <c r="T31" i="1"/>
  <c r="S34" i="1"/>
  <c r="T34" i="1"/>
  <c r="S35" i="1"/>
  <c r="T35" i="1"/>
  <c r="S36" i="1"/>
  <c r="T36" i="1"/>
  <c r="S32" i="1"/>
  <c r="T32" i="1"/>
  <c r="S59" i="1"/>
  <c r="T59" i="1"/>
  <c r="P29" i="21" l="1"/>
  <c r="T29" i="21"/>
  <c r="O29" i="21"/>
  <c r="S29" i="21"/>
  <c r="O6" i="21"/>
  <c r="S6" i="21"/>
  <c r="O55" i="21"/>
  <c r="S55" i="21"/>
  <c r="O5" i="21"/>
  <c r="S5" i="21"/>
  <c r="O7" i="21"/>
  <c r="S7" i="21"/>
  <c r="O83" i="21"/>
  <c r="S83" i="21"/>
  <c r="T42" i="1"/>
  <c r="BC42" i="1" s="1"/>
  <c r="N71" i="21"/>
  <c r="R71" i="21" s="1"/>
  <c r="D7" i="16"/>
  <c r="D38" i="16" s="1"/>
  <c r="T40" i="1"/>
  <c r="BA40" i="1" s="1"/>
  <c r="S40" i="1"/>
  <c r="AO40" i="1" s="1"/>
  <c r="C123" i="2"/>
  <c r="C124" i="2" s="1"/>
  <c r="D303" i="2" s="1"/>
  <c r="E303" i="2" s="1"/>
  <c r="BL42" i="1"/>
  <c r="Q132" i="1"/>
  <c r="BO132" i="1" s="1"/>
  <c r="S42" i="1"/>
  <c r="AL42" i="1" s="1"/>
  <c r="O27" i="21"/>
  <c r="O50" i="21"/>
  <c r="P50" i="21"/>
  <c r="O14" i="21"/>
  <c r="O71" i="21"/>
  <c r="C313" i="2"/>
  <c r="E310" i="2"/>
  <c r="P55" i="21"/>
  <c r="P37" i="21"/>
  <c r="F122" i="2"/>
  <c r="G122" i="2"/>
  <c r="E122" i="2"/>
  <c r="O4" i="21"/>
  <c r="I50" i="21"/>
  <c r="Q50" i="21" s="1"/>
  <c r="I27" i="21"/>
  <c r="Q27" i="21" s="1"/>
  <c r="T49" i="16"/>
  <c r="C6" i="16"/>
  <c r="C47" i="16" s="1"/>
  <c r="C55" i="16" s="1"/>
  <c r="Q32" i="21"/>
  <c r="S41" i="1"/>
  <c r="AP41" i="1" s="1"/>
  <c r="O37" i="21"/>
  <c r="T41" i="1"/>
  <c r="AY41" i="1" s="1"/>
  <c r="G17" i="21"/>
  <c r="S17" i="21" s="1"/>
  <c r="G70" i="21"/>
  <c r="S70" i="21" s="1"/>
  <c r="G18" i="21"/>
  <c r="S18" i="21" s="1"/>
  <c r="E6" i="16"/>
  <c r="E47" i="16" s="1"/>
  <c r="J6" i="1"/>
  <c r="G15" i="21"/>
  <c r="S15" i="21" s="1"/>
  <c r="F9" i="22"/>
  <c r="AR6" i="1"/>
  <c r="T39" i="1"/>
  <c r="AV39" i="1" s="1"/>
  <c r="H19" i="21"/>
  <c r="T19" i="21" s="1"/>
  <c r="G11" i="22"/>
  <c r="S39" i="1"/>
  <c r="AK39" i="1" s="1"/>
  <c r="H9" i="22"/>
  <c r="D6" i="16"/>
  <c r="G19" i="21"/>
  <c r="S19" i="21" s="1"/>
  <c r="F11" i="22"/>
  <c r="H20" i="21"/>
  <c r="T20" i="21" s="1"/>
  <c r="G5" i="22"/>
  <c r="G9" i="22"/>
  <c r="G20" i="21"/>
  <c r="S20" i="21" s="1"/>
  <c r="F5" i="22"/>
  <c r="BE6" i="1"/>
  <c r="O132" i="1"/>
  <c r="BM132" i="1" s="1"/>
  <c r="L132" i="1"/>
  <c r="L149" i="1" s="1"/>
  <c r="C83" i="16" s="1"/>
  <c r="P132" i="1"/>
  <c r="BN132" i="1" s="1"/>
  <c r="N132" i="1"/>
  <c r="BL132" i="1" s="1"/>
  <c r="N5" i="21"/>
  <c r="R5" i="21" s="1"/>
  <c r="I5" i="21"/>
  <c r="Q5" i="21" s="1"/>
  <c r="Q141" i="1"/>
  <c r="BO141" i="1" s="1"/>
  <c r="M141" i="1"/>
  <c r="R141" i="1"/>
  <c r="P141" i="1"/>
  <c r="BN141" i="1" s="1"/>
  <c r="O141" i="1"/>
  <c r="BM141" i="1" s="1"/>
  <c r="N141" i="1"/>
  <c r="BL141" i="1" s="1"/>
  <c r="N6" i="21"/>
  <c r="R6" i="21" s="1"/>
  <c r="I6" i="21"/>
  <c r="Q6" i="21" s="1"/>
  <c r="Q76" i="21"/>
  <c r="I83" i="21"/>
  <c r="Q41" i="21"/>
  <c r="Q28" i="21"/>
  <c r="I29" i="21"/>
  <c r="Q29" i="21" s="1"/>
  <c r="Q23" i="21"/>
  <c r="Q51" i="21"/>
  <c r="I55" i="21"/>
  <c r="Q55" i="21" s="1"/>
  <c r="N14" i="21"/>
  <c r="R14" i="21" s="1"/>
  <c r="I14" i="21"/>
  <c r="Q14" i="21" s="1"/>
  <c r="N7" i="21"/>
  <c r="R7" i="21" s="1"/>
  <c r="I7" i="21"/>
  <c r="Q7" i="21" s="1"/>
  <c r="H23" i="16"/>
  <c r="H37" i="16" s="1"/>
  <c r="BO133" i="1"/>
  <c r="G23" i="16"/>
  <c r="G37" i="16" s="1"/>
  <c r="BN133" i="1"/>
  <c r="F23" i="16"/>
  <c r="F37" i="16" s="1"/>
  <c r="BM133" i="1"/>
  <c r="J8" i="1"/>
  <c r="D23" i="16"/>
  <c r="D37" i="16" s="1"/>
  <c r="BK133" i="1"/>
  <c r="D22" i="16"/>
  <c r="BK132" i="1"/>
  <c r="C23" i="16"/>
  <c r="C37" i="16" s="1"/>
  <c r="BJ133" i="1"/>
  <c r="E23" i="16"/>
  <c r="E37" i="16" s="1"/>
  <c r="BL133" i="1"/>
  <c r="AG4" i="4"/>
  <c r="X21" i="16"/>
  <c r="W21" i="16"/>
  <c r="AA21" i="16"/>
  <c r="AB21" i="16"/>
  <c r="AC21" i="16"/>
  <c r="Z21" i="16"/>
  <c r="T4" i="4"/>
  <c r="T6" i="4" s="1"/>
  <c r="AH3" i="4"/>
  <c r="AF9" i="4" s="1"/>
  <c r="J47" i="1"/>
  <c r="J50" i="1"/>
  <c r="J49" i="1"/>
  <c r="F17" i="21" s="1"/>
  <c r="J63" i="1"/>
  <c r="F20" i="21" s="1"/>
  <c r="J89" i="1"/>
  <c r="F36" i="21" s="1"/>
  <c r="J51" i="1"/>
  <c r="T52" i="16"/>
  <c r="G70" i="16"/>
  <c r="G71" i="16" s="1"/>
  <c r="J67" i="16"/>
  <c r="E70" i="16"/>
  <c r="E71" i="16" s="1"/>
  <c r="H70" i="16"/>
  <c r="H71" i="16" s="1"/>
  <c r="T48" i="16"/>
  <c r="T51" i="16"/>
  <c r="T60" i="16"/>
  <c r="Q8" i="16"/>
  <c r="L9" i="16"/>
  <c r="M8" i="16"/>
  <c r="W13" i="5"/>
  <c r="Z13" i="5"/>
  <c r="Q9" i="16"/>
  <c r="R9" i="16"/>
  <c r="S8" i="16"/>
  <c r="R8" i="16"/>
  <c r="T19" i="5"/>
  <c r="Z19" i="5"/>
  <c r="Y13" i="5"/>
  <c r="V13" i="5"/>
  <c r="AB18" i="16"/>
  <c r="M19" i="5"/>
  <c r="P9" i="16"/>
  <c r="S9" i="16"/>
  <c r="P8" i="16"/>
  <c r="X19" i="5"/>
  <c r="U19" i="5"/>
  <c r="U13" i="5"/>
  <c r="T13" i="5"/>
  <c r="J19" i="5"/>
  <c r="N9" i="16"/>
  <c r="N8" i="16"/>
  <c r="Y19" i="5"/>
  <c r="V19" i="5"/>
  <c r="O9" i="16"/>
  <c r="M9" i="16"/>
  <c r="L8" i="16"/>
  <c r="O8" i="16"/>
  <c r="S19" i="5"/>
  <c r="W19" i="5"/>
  <c r="S13" i="5"/>
  <c r="X13" i="5"/>
  <c r="AC18" i="16"/>
  <c r="W18" i="16"/>
  <c r="X18" i="16"/>
  <c r="AA18" i="16"/>
  <c r="Z18" i="16"/>
  <c r="AC17" i="16"/>
  <c r="AB17" i="16"/>
  <c r="W17" i="16"/>
  <c r="Y17" i="16"/>
  <c r="Z17" i="16"/>
  <c r="AA17" i="16"/>
  <c r="AC12" i="16"/>
  <c r="Y12" i="16"/>
  <c r="AA12" i="16"/>
  <c r="W12" i="16"/>
  <c r="X12" i="16"/>
  <c r="AB12" i="16"/>
  <c r="Z12" i="16"/>
  <c r="AC16" i="16"/>
  <c r="Y16" i="16"/>
  <c r="AA16" i="16"/>
  <c r="W16" i="16"/>
  <c r="AB16" i="16"/>
  <c r="Z16" i="16"/>
  <c r="X16" i="16"/>
  <c r="AC20" i="16"/>
  <c r="Y20" i="16"/>
  <c r="AA20" i="16"/>
  <c r="W20" i="16"/>
  <c r="X20" i="16"/>
  <c r="AB20" i="16"/>
  <c r="Z20" i="16"/>
  <c r="AB11" i="16"/>
  <c r="X11" i="16"/>
  <c r="Z11" i="16"/>
  <c r="W11" i="16"/>
  <c r="AA11" i="16"/>
  <c r="Y11" i="16"/>
  <c r="AC11" i="16"/>
  <c r="AB19" i="16"/>
  <c r="X19" i="16"/>
  <c r="Z19" i="16"/>
  <c r="W19" i="16"/>
  <c r="AC19" i="16"/>
  <c r="AA19" i="16"/>
  <c r="Y19" i="16"/>
  <c r="AB15" i="16"/>
  <c r="X15" i="16"/>
  <c r="Z15" i="16"/>
  <c r="AA15" i="16"/>
  <c r="W15" i="16"/>
  <c r="AC15" i="16"/>
  <c r="Y15" i="16"/>
  <c r="N13" i="16"/>
  <c r="N13" i="5"/>
  <c r="R10" i="16"/>
  <c r="J13" i="5"/>
  <c r="N10" i="16"/>
  <c r="Q161" i="1"/>
  <c r="Q162" i="1" s="1"/>
  <c r="O19" i="5"/>
  <c r="S13" i="16"/>
  <c r="S50" i="16" s="1"/>
  <c r="AR89" i="1"/>
  <c r="L13" i="5"/>
  <c r="P10" i="16"/>
  <c r="H13" i="5"/>
  <c r="L10" i="16"/>
  <c r="N161" i="1"/>
  <c r="N162" i="1" s="1"/>
  <c r="N145" i="1" s="1"/>
  <c r="K13" i="5"/>
  <c r="O10" i="16"/>
  <c r="I13" i="5"/>
  <c r="M10" i="16"/>
  <c r="O161" i="1"/>
  <c r="O162" i="1" s="1"/>
  <c r="O145" i="1" s="1"/>
  <c r="L19" i="5"/>
  <c r="P13" i="16"/>
  <c r="P50" i="16" s="1"/>
  <c r="H19" i="5"/>
  <c r="L13" i="16"/>
  <c r="L50" i="16" s="1"/>
  <c r="N19" i="5"/>
  <c r="R13" i="16"/>
  <c r="R50" i="16" s="1"/>
  <c r="O13" i="5"/>
  <c r="S10" i="16"/>
  <c r="M13" i="5"/>
  <c r="Q10" i="16"/>
  <c r="P161" i="1"/>
  <c r="P162" i="1" s="1"/>
  <c r="I19" i="5"/>
  <c r="M13" i="16"/>
  <c r="M50" i="16" s="1"/>
  <c r="K19" i="5"/>
  <c r="O13" i="16"/>
  <c r="O50" i="16" s="1"/>
  <c r="O53" i="1"/>
  <c r="O54" i="1"/>
  <c r="O38" i="1"/>
  <c r="O37" i="1"/>
  <c r="N68" i="1"/>
  <c r="N60" i="1"/>
  <c r="S133" i="1"/>
  <c r="T133" i="1"/>
  <c r="S158" i="1"/>
  <c r="T158" i="1"/>
  <c r="BA158" i="1" s="1"/>
  <c r="AR63" i="1"/>
  <c r="BE63" i="1"/>
  <c r="AW42" i="1"/>
  <c r="BA42" i="1"/>
  <c r="AX42" i="1"/>
  <c r="BB42" i="1"/>
  <c r="AZ42" i="1"/>
  <c r="BE8" i="1"/>
  <c r="BE47" i="1"/>
  <c r="BE50" i="1"/>
  <c r="BE49" i="1"/>
  <c r="BE89" i="1"/>
  <c r="P30" i="1"/>
  <c r="BE51" i="1"/>
  <c r="AX40" i="1"/>
  <c r="AY40" i="1"/>
  <c r="BA32" i="1"/>
  <c r="AW32" i="1"/>
  <c r="AZ32" i="1"/>
  <c r="AY32" i="1"/>
  <c r="BC32" i="1"/>
  <c r="BB32" i="1"/>
  <c r="AX32" i="1"/>
  <c r="AV32" i="1"/>
  <c r="BB35" i="1"/>
  <c r="AX35" i="1"/>
  <c r="AZ35" i="1"/>
  <c r="AY35" i="1"/>
  <c r="AW35" i="1"/>
  <c r="AV35" i="1"/>
  <c r="BC35" i="1"/>
  <c r="BA35" i="1"/>
  <c r="BB31" i="1"/>
  <c r="AX31" i="1"/>
  <c r="AY31" i="1"/>
  <c r="BC31" i="1"/>
  <c r="AW31" i="1"/>
  <c r="BA31" i="1"/>
  <c r="AZ31" i="1"/>
  <c r="AV31" i="1"/>
  <c r="BA67" i="1"/>
  <c r="AW67" i="1"/>
  <c r="BB67" i="1"/>
  <c r="AV67" i="1"/>
  <c r="AZ67" i="1"/>
  <c r="BC67" i="1"/>
  <c r="AY67" i="1"/>
  <c r="AX67" i="1"/>
  <c r="AR47" i="1"/>
  <c r="AR50" i="1"/>
  <c r="AK40" i="1"/>
  <c r="AM40" i="1"/>
  <c r="AR51" i="1"/>
  <c r="AR49" i="1"/>
  <c r="AR8" i="1"/>
  <c r="BC59" i="1"/>
  <c r="AY59" i="1"/>
  <c r="BA59" i="1"/>
  <c r="AV59" i="1"/>
  <c r="AZ59" i="1"/>
  <c r="BB59" i="1"/>
  <c r="AX59" i="1"/>
  <c r="AW59" i="1"/>
  <c r="BA36" i="1"/>
  <c r="AW36" i="1"/>
  <c r="BB36" i="1"/>
  <c r="AV36" i="1"/>
  <c r="AZ36" i="1"/>
  <c r="AY36" i="1"/>
  <c r="AX36" i="1"/>
  <c r="BC36" i="1"/>
  <c r="BC34" i="1"/>
  <c r="AY34" i="1"/>
  <c r="AX34" i="1"/>
  <c r="BB34" i="1"/>
  <c r="AW34" i="1"/>
  <c r="AV34" i="1"/>
  <c r="BA34" i="1"/>
  <c r="AZ34" i="1"/>
  <c r="AZ33" i="1"/>
  <c r="AV33" i="1"/>
  <c r="BB33" i="1"/>
  <c r="AW33" i="1"/>
  <c r="BA33" i="1"/>
  <c r="BC33" i="1"/>
  <c r="AY33" i="1"/>
  <c r="AX33" i="1"/>
  <c r="AP59" i="1"/>
  <c r="AL59" i="1"/>
  <c r="AK59" i="1"/>
  <c r="AN59" i="1"/>
  <c r="AM59" i="1"/>
  <c r="AJ59" i="1"/>
  <c r="AO59" i="1"/>
  <c r="AI59" i="1"/>
  <c r="AO36" i="1"/>
  <c r="AK36" i="1"/>
  <c r="AM36" i="1"/>
  <c r="AL36" i="1"/>
  <c r="AP36" i="1"/>
  <c r="AJ36" i="1"/>
  <c r="AN36" i="1"/>
  <c r="AI36" i="1"/>
  <c r="AO34" i="1"/>
  <c r="AK34" i="1"/>
  <c r="AM34" i="1"/>
  <c r="AL34" i="1"/>
  <c r="AP34" i="1"/>
  <c r="AJ34" i="1"/>
  <c r="AN34" i="1"/>
  <c r="AI34" i="1"/>
  <c r="AO33" i="1"/>
  <c r="AK33" i="1"/>
  <c r="AP33" i="1"/>
  <c r="AJ33" i="1"/>
  <c r="AN33" i="1"/>
  <c r="AI33" i="1"/>
  <c r="AM33" i="1"/>
  <c r="AL33" i="1"/>
  <c r="AO32" i="1"/>
  <c r="AK32" i="1"/>
  <c r="AM32" i="1"/>
  <c r="AL32" i="1"/>
  <c r="AP32" i="1"/>
  <c r="AJ32" i="1"/>
  <c r="AN32" i="1"/>
  <c r="AI32" i="1"/>
  <c r="AO35" i="1"/>
  <c r="AK35" i="1"/>
  <c r="AP35" i="1"/>
  <c r="AJ35" i="1"/>
  <c r="AN35" i="1"/>
  <c r="AI35" i="1"/>
  <c r="AM35" i="1"/>
  <c r="AL35" i="1"/>
  <c r="AO31" i="1"/>
  <c r="AK31" i="1"/>
  <c r="AP31" i="1"/>
  <c r="AJ31" i="1"/>
  <c r="AN31" i="1"/>
  <c r="AI31" i="1"/>
  <c r="AM31" i="1"/>
  <c r="H14" i="22" s="1"/>
  <c r="AL31" i="1"/>
  <c r="AP67" i="1"/>
  <c r="AL67" i="1"/>
  <c r="AN67" i="1"/>
  <c r="AI67" i="1"/>
  <c r="AK67" i="1"/>
  <c r="AJ67" i="1"/>
  <c r="AO67" i="1"/>
  <c r="AM67" i="1"/>
  <c r="O58" i="1"/>
  <c r="P46" i="1"/>
  <c r="C311" i="2"/>
  <c r="Q139" i="1"/>
  <c r="P139" i="1"/>
  <c r="O139" i="1"/>
  <c r="N139" i="1"/>
  <c r="M139" i="1"/>
  <c r="AY42" i="1" l="1"/>
  <c r="AV42" i="1"/>
  <c r="AW40" i="1"/>
  <c r="AV40" i="1"/>
  <c r="AP42" i="1"/>
  <c r="S7" i="16" s="1"/>
  <c r="S38" i="16" s="1"/>
  <c r="AZ40" i="1"/>
  <c r="BC40" i="1"/>
  <c r="D47" i="16"/>
  <c r="BB40" i="1"/>
  <c r="AK42" i="1"/>
  <c r="G13" i="21" s="1"/>
  <c r="S13" i="21" s="1"/>
  <c r="AN40" i="1"/>
  <c r="AI42" i="1"/>
  <c r="L7" i="16" s="1"/>
  <c r="L38" i="16" s="1"/>
  <c r="J7" i="16"/>
  <c r="J38" i="16" s="1"/>
  <c r="AP40" i="1"/>
  <c r="AJ40" i="1"/>
  <c r="AL40" i="1"/>
  <c r="AO42" i="1"/>
  <c r="R7" i="16" s="1"/>
  <c r="R38" i="16" s="1"/>
  <c r="AM42" i="1"/>
  <c r="P7" i="16" s="1"/>
  <c r="P38" i="16" s="1"/>
  <c r="D313" i="2"/>
  <c r="AI41" i="1"/>
  <c r="L6" i="16" s="1"/>
  <c r="AI40" i="1"/>
  <c r="AJ42" i="1"/>
  <c r="M7" i="16" s="1"/>
  <c r="M38" i="16" s="1"/>
  <c r="AN42" i="1"/>
  <c r="Q7" i="16" s="1"/>
  <c r="Q38" i="16" s="1"/>
  <c r="AE10" i="4"/>
  <c r="O19" i="21"/>
  <c r="P19" i="21"/>
  <c r="O15" i="21"/>
  <c r="O18" i="21"/>
  <c r="O17" i="21"/>
  <c r="P20" i="21"/>
  <c r="O20" i="21"/>
  <c r="O70" i="21"/>
  <c r="G14" i="22"/>
  <c r="C36" i="16"/>
  <c r="C56" i="16" s="1"/>
  <c r="N4" i="21"/>
  <c r="AK41" i="1"/>
  <c r="F19" i="22" s="1"/>
  <c r="AN41" i="1"/>
  <c r="Q6" i="16" s="1"/>
  <c r="AO41" i="1"/>
  <c r="R6" i="16" s="1"/>
  <c r="J6" i="16"/>
  <c r="AL41" i="1"/>
  <c r="AJ41" i="1"/>
  <c r="AY39" i="1"/>
  <c r="N50" i="16"/>
  <c r="AM41" i="1"/>
  <c r="H16" i="22" s="1"/>
  <c r="BA39" i="1"/>
  <c r="BA41" i="1"/>
  <c r="BC39" i="1"/>
  <c r="AX39" i="1"/>
  <c r="BC41" i="1"/>
  <c r="AZ39" i="1"/>
  <c r="BB39" i="1"/>
  <c r="AW39" i="1"/>
  <c r="H13" i="21"/>
  <c r="T13" i="21" s="1"/>
  <c r="G20" i="22"/>
  <c r="AI39" i="1"/>
  <c r="AW41" i="1"/>
  <c r="AV41" i="1"/>
  <c r="AL39" i="1"/>
  <c r="AX41" i="1"/>
  <c r="AZ41" i="1"/>
  <c r="F20" i="22"/>
  <c r="BJ132" i="1"/>
  <c r="BJ147" i="1" s="1"/>
  <c r="C79" i="16" s="1"/>
  <c r="BB41" i="1"/>
  <c r="N36" i="21"/>
  <c r="R36" i="21" s="1"/>
  <c r="I36" i="21"/>
  <c r="I37" i="21" s="1"/>
  <c r="F37" i="21"/>
  <c r="N37" i="21" s="1"/>
  <c r="R37" i="21" s="1"/>
  <c r="M67" i="16"/>
  <c r="N67" i="16"/>
  <c r="AF12" i="4"/>
  <c r="I4" i="21"/>
  <c r="C22" i="16"/>
  <c r="C35" i="16" s="1"/>
  <c r="L148" i="1"/>
  <c r="C82" i="16" s="1"/>
  <c r="I9" i="22"/>
  <c r="L9" i="22" s="1"/>
  <c r="M143" i="1"/>
  <c r="BK143" i="1" s="1"/>
  <c r="N143" i="1"/>
  <c r="BL143" i="1" s="1"/>
  <c r="O143" i="1"/>
  <c r="BM143" i="1" s="1"/>
  <c r="P143" i="1"/>
  <c r="BN143" i="1" s="1"/>
  <c r="Q143" i="1"/>
  <c r="BO143" i="1" s="1"/>
  <c r="AP39" i="1"/>
  <c r="AO39" i="1"/>
  <c r="L153" i="1"/>
  <c r="C87" i="16" s="1"/>
  <c r="L154" i="1"/>
  <c r="I5" i="22"/>
  <c r="AN39" i="1"/>
  <c r="AM39" i="1"/>
  <c r="L152" i="1"/>
  <c r="C86" i="16" s="1"/>
  <c r="I11" i="22"/>
  <c r="G11" i="21"/>
  <c r="S11" i="21" s="1"/>
  <c r="F14" i="22"/>
  <c r="AJ39" i="1"/>
  <c r="T132" i="1"/>
  <c r="AX132" i="1" s="1"/>
  <c r="S132" i="1"/>
  <c r="AN132" i="1" s="1"/>
  <c r="N20" i="21"/>
  <c r="R20" i="21" s="1"/>
  <c r="I20" i="21"/>
  <c r="Q20" i="21" s="1"/>
  <c r="N70" i="21"/>
  <c r="R70" i="21" s="1"/>
  <c r="Q83" i="21"/>
  <c r="I95" i="21"/>
  <c r="N18" i="21"/>
  <c r="R18" i="21" s="1"/>
  <c r="I18" i="21"/>
  <c r="Q18" i="21" s="1"/>
  <c r="N17" i="21"/>
  <c r="R17" i="21" s="1"/>
  <c r="I17" i="21"/>
  <c r="Q17" i="21" s="1"/>
  <c r="N15" i="21"/>
  <c r="R15" i="21" s="1"/>
  <c r="I15" i="21"/>
  <c r="Q15" i="21" s="1"/>
  <c r="BK141" i="1"/>
  <c r="N19" i="21"/>
  <c r="R19" i="21" s="1"/>
  <c r="I19" i="21"/>
  <c r="D61" i="16"/>
  <c r="F5" i="16"/>
  <c r="F59" i="16" s="1"/>
  <c r="BM145" i="1"/>
  <c r="E5" i="16"/>
  <c r="E59" i="16" s="1"/>
  <c r="BL145" i="1"/>
  <c r="BN139" i="1"/>
  <c r="BK139" i="1"/>
  <c r="BO139" i="1"/>
  <c r="BL139" i="1"/>
  <c r="BM139" i="1"/>
  <c r="F24" i="16"/>
  <c r="F53" i="16" s="1"/>
  <c r="F55" i="16" s="1"/>
  <c r="F77" i="16" s="1"/>
  <c r="AD21" i="16"/>
  <c r="U4" i="4"/>
  <c r="U6" i="4" s="1"/>
  <c r="J67" i="1"/>
  <c r="J59" i="1"/>
  <c r="J32" i="1"/>
  <c r="J34" i="1"/>
  <c r="J36" i="1"/>
  <c r="J31" i="1"/>
  <c r="F11" i="21" s="1"/>
  <c r="J35" i="1"/>
  <c r="J33" i="1"/>
  <c r="H24" i="16"/>
  <c r="H53" i="16" s="1"/>
  <c r="H55" i="16" s="1"/>
  <c r="O7" i="16"/>
  <c r="J71" i="16"/>
  <c r="J70" i="16"/>
  <c r="C77" i="16"/>
  <c r="N164" i="1"/>
  <c r="E72" i="16"/>
  <c r="V8" i="16"/>
  <c r="W8" i="16" s="1"/>
  <c r="T9" i="16"/>
  <c r="AA13" i="5"/>
  <c r="V9" i="16"/>
  <c r="X9" i="16" s="1"/>
  <c r="T8" i="16"/>
  <c r="J23" i="16"/>
  <c r="J37" i="16" s="1"/>
  <c r="S6" i="16"/>
  <c r="F29" i="5"/>
  <c r="AD18" i="16"/>
  <c r="AD17" i="16"/>
  <c r="AD11" i="16"/>
  <c r="AD19" i="16"/>
  <c r="AD16" i="16"/>
  <c r="AD12" i="16"/>
  <c r="V13" i="16"/>
  <c r="V10" i="16"/>
  <c r="AD20" i="16"/>
  <c r="AD15" i="16"/>
  <c r="D24" i="16"/>
  <c r="E24" i="16"/>
  <c r="E22" i="16"/>
  <c r="E61" i="16" s="1"/>
  <c r="S161" i="1"/>
  <c r="N163" i="1"/>
  <c r="T161" i="1"/>
  <c r="P13" i="5"/>
  <c r="T10" i="16"/>
  <c r="G24" i="16"/>
  <c r="T13" i="16"/>
  <c r="AK158" i="1"/>
  <c r="F72" i="16"/>
  <c r="P145" i="1"/>
  <c r="BN145" i="1" s="1"/>
  <c r="Q145" i="1"/>
  <c r="BO145" i="1" s="1"/>
  <c r="R163" i="1"/>
  <c r="R146" i="1" s="1"/>
  <c r="BP146" i="1" s="1"/>
  <c r="P54" i="1"/>
  <c r="P53" i="1"/>
  <c r="P37" i="1"/>
  <c r="P38" i="1"/>
  <c r="O68" i="1"/>
  <c r="O60" i="1"/>
  <c r="AP133" i="1"/>
  <c r="E29" i="5"/>
  <c r="AN133" i="1"/>
  <c r="AK133" i="1"/>
  <c r="AI133" i="1"/>
  <c r="AJ133" i="1"/>
  <c r="AZ133" i="1"/>
  <c r="BB133" i="1"/>
  <c r="AY133" i="1"/>
  <c r="AX133" i="1"/>
  <c r="AO133" i="1"/>
  <c r="AL133" i="1"/>
  <c r="AV133" i="1"/>
  <c r="BA133" i="1"/>
  <c r="BC133" i="1"/>
  <c r="AM133" i="1"/>
  <c r="AW133" i="1"/>
  <c r="AM158" i="1"/>
  <c r="AI158" i="1"/>
  <c r="AL158" i="1"/>
  <c r="AJ158" i="1"/>
  <c r="AN158" i="1"/>
  <c r="AO158" i="1"/>
  <c r="AP158" i="1"/>
  <c r="BB158" i="1"/>
  <c r="AX158" i="1"/>
  <c r="AZ158" i="1"/>
  <c r="AY158" i="1"/>
  <c r="AW158" i="1"/>
  <c r="BC158" i="1"/>
  <c r="AV158" i="1"/>
  <c r="BE42" i="1"/>
  <c r="BE34" i="1"/>
  <c r="AR32" i="1"/>
  <c r="AR34" i="1"/>
  <c r="AR36" i="1"/>
  <c r="AR59" i="1"/>
  <c r="BE35" i="1"/>
  <c r="BE36" i="1"/>
  <c r="BE59" i="1"/>
  <c r="BE32" i="1"/>
  <c r="BE33" i="1"/>
  <c r="BE67" i="1"/>
  <c r="BE31" i="1"/>
  <c r="Q30" i="1"/>
  <c r="AR67" i="1"/>
  <c r="AR31" i="1"/>
  <c r="AR35" i="1"/>
  <c r="AR33" i="1"/>
  <c r="P58" i="1"/>
  <c r="Q46" i="1"/>
  <c r="N7" i="16" l="1"/>
  <c r="BE40" i="1"/>
  <c r="S47" i="16"/>
  <c r="Q47" i="16"/>
  <c r="J40" i="1"/>
  <c r="R47" i="16"/>
  <c r="AR40" i="1"/>
  <c r="AR42" i="1"/>
  <c r="J47" i="16"/>
  <c r="J42" i="1"/>
  <c r="F13" i="21" s="1"/>
  <c r="H20" i="22"/>
  <c r="I20" i="22" s="1"/>
  <c r="O13" i="21"/>
  <c r="P13" i="21"/>
  <c r="G19" i="22"/>
  <c r="H86" i="21"/>
  <c r="T86" i="21" s="1"/>
  <c r="I14" i="22"/>
  <c r="C14" i="22" s="1"/>
  <c r="O11" i="21"/>
  <c r="Q4" i="21"/>
  <c r="Q95" i="21"/>
  <c r="I98" i="21"/>
  <c r="AP132" i="1"/>
  <c r="AK132" i="1"/>
  <c r="G85" i="21" s="1"/>
  <c r="S85" i="21" s="1"/>
  <c r="AI132" i="1"/>
  <c r="AM132" i="1"/>
  <c r="N6" i="16"/>
  <c r="N47" i="16" s="1"/>
  <c r="AJ132" i="1"/>
  <c r="AO132" i="1"/>
  <c r="AL132" i="1"/>
  <c r="G12" i="21"/>
  <c r="F16" i="22"/>
  <c r="J41" i="1"/>
  <c r="F12" i="21" s="1"/>
  <c r="T50" i="16"/>
  <c r="BE39" i="1"/>
  <c r="N38" i="16"/>
  <c r="BC132" i="1"/>
  <c r="AR41" i="1"/>
  <c r="AW132" i="1"/>
  <c r="M6" i="16"/>
  <c r="M47" i="16" s="1"/>
  <c r="G16" i="22"/>
  <c r="H19" i="22"/>
  <c r="AZ132" i="1"/>
  <c r="AY132" i="1"/>
  <c r="AV132" i="1"/>
  <c r="P6" i="16"/>
  <c r="P47" i="16" s="1"/>
  <c r="O6" i="16"/>
  <c r="O47" i="16" s="1"/>
  <c r="H12" i="21"/>
  <c r="T12" i="21" s="1"/>
  <c r="BE41" i="1"/>
  <c r="BA132" i="1"/>
  <c r="G86" i="21"/>
  <c r="S86" i="21" s="1"/>
  <c r="M71" i="16"/>
  <c r="N71" i="16"/>
  <c r="AR39" i="1"/>
  <c r="BB132" i="1"/>
  <c r="Q36" i="21"/>
  <c r="Q37" i="21"/>
  <c r="M70" i="16"/>
  <c r="N70" i="16"/>
  <c r="C92" i="16"/>
  <c r="C61" i="16"/>
  <c r="C63" i="16" s="1"/>
  <c r="C78" i="16" s="1"/>
  <c r="C93" i="16" s="1"/>
  <c r="J39" i="1"/>
  <c r="P144" i="1"/>
  <c r="G27" i="16" s="1"/>
  <c r="G62" i="16" s="1"/>
  <c r="O144" i="1"/>
  <c r="O154" i="1" s="1"/>
  <c r="R144" i="1"/>
  <c r="N144" i="1"/>
  <c r="N152" i="1" s="1"/>
  <c r="E86" i="16" s="1"/>
  <c r="D311" i="2"/>
  <c r="Q144" i="1"/>
  <c r="H27" i="16" s="1"/>
  <c r="H62" i="16" s="1"/>
  <c r="M144" i="1"/>
  <c r="BK144" i="1" s="1"/>
  <c r="BK147" i="1" s="1"/>
  <c r="D79" i="16" s="1"/>
  <c r="C5" i="22"/>
  <c r="L5" i="22"/>
  <c r="C9" i="22"/>
  <c r="N11" i="21"/>
  <c r="R11" i="21" s="1"/>
  <c r="I11" i="21"/>
  <c r="Q19" i="21"/>
  <c r="C11" i="22"/>
  <c r="L11" i="22"/>
  <c r="F36" i="16"/>
  <c r="F56" i="16" s="1"/>
  <c r="AH4" i="4"/>
  <c r="AI3" i="4"/>
  <c r="AG9" i="4" s="1"/>
  <c r="V4" i="4"/>
  <c r="L47" i="16"/>
  <c r="I5" i="16"/>
  <c r="I59" i="16" s="1"/>
  <c r="I4" i="16"/>
  <c r="I46" i="16" s="1"/>
  <c r="J133" i="1"/>
  <c r="F86" i="21" s="1"/>
  <c r="T7" i="16"/>
  <c r="T38" i="16" s="1"/>
  <c r="H36" i="16"/>
  <c r="H56" i="16" s="1"/>
  <c r="V7" i="16"/>
  <c r="Z7" i="16" s="1"/>
  <c r="O38" i="16"/>
  <c r="G72" i="16"/>
  <c r="G73" i="16" s="1"/>
  <c r="G5" i="16"/>
  <c r="G59" i="16" s="1"/>
  <c r="H72" i="16"/>
  <c r="H73" i="16" s="1"/>
  <c r="H5" i="16"/>
  <c r="H59" i="16" s="1"/>
  <c r="F73" i="16"/>
  <c r="E30" i="16"/>
  <c r="E42" i="16" s="1"/>
  <c r="I22" i="16"/>
  <c r="I61" i="16" s="1"/>
  <c r="I72" i="16"/>
  <c r="E73" i="16"/>
  <c r="H77" i="16"/>
  <c r="G36" i="16"/>
  <c r="G53" i="16"/>
  <c r="G55" i="16" s="1"/>
  <c r="D36" i="16"/>
  <c r="D53" i="16"/>
  <c r="D55" i="16" s="1"/>
  <c r="D77" i="16" s="1"/>
  <c r="E36" i="16"/>
  <c r="E53" i="16"/>
  <c r="E55" i="16" s="1"/>
  <c r="E77" i="16" s="1"/>
  <c r="Z9" i="16"/>
  <c r="AA9" i="16"/>
  <c r="Y8" i="16"/>
  <c r="Y9" i="16"/>
  <c r="AB9" i="16"/>
  <c r="X8" i="16"/>
  <c r="AC9" i="16"/>
  <c r="W9" i="16"/>
  <c r="Z8" i="16"/>
  <c r="AA8" i="16"/>
  <c r="AB8" i="16"/>
  <c r="AC8" i="16"/>
  <c r="T29" i="5"/>
  <c r="S29" i="5"/>
  <c r="U29" i="5"/>
  <c r="X29" i="5"/>
  <c r="V29" i="5"/>
  <c r="W29" i="5"/>
  <c r="Z29" i="5"/>
  <c r="Y29" i="5"/>
  <c r="Z13" i="16"/>
  <c r="AB13" i="16"/>
  <c r="X13" i="16"/>
  <c r="Y13" i="16"/>
  <c r="W13" i="16"/>
  <c r="AC13" i="16"/>
  <c r="AA13" i="16"/>
  <c r="AA10" i="16"/>
  <c r="W10" i="16"/>
  <c r="AC10" i="16"/>
  <c r="Y10" i="16"/>
  <c r="Z10" i="16"/>
  <c r="X10" i="16"/>
  <c r="AB10" i="16"/>
  <c r="Q164" i="1"/>
  <c r="H22" i="16"/>
  <c r="P164" i="1"/>
  <c r="G22" i="16"/>
  <c r="I29" i="5"/>
  <c r="M23" i="16"/>
  <c r="M37" i="16" s="1"/>
  <c r="H29" i="5"/>
  <c r="L23" i="16"/>
  <c r="L29" i="5"/>
  <c r="P23" i="16"/>
  <c r="P37" i="16" s="1"/>
  <c r="K29" i="5"/>
  <c r="O23" i="16"/>
  <c r="O37" i="16" s="1"/>
  <c r="J29" i="5"/>
  <c r="N23" i="16"/>
  <c r="N29" i="5"/>
  <c r="R23" i="16"/>
  <c r="R37" i="16" s="1"/>
  <c r="M29" i="5"/>
  <c r="Q23" i="16"/>
  <c r="Q37" i="16" s="1"/>
  <c r="O29" i="5"/>
  <c r="S23" i="16"/>
  <c r="S37" i="16" s="1"/>
  <c r="O164" i="1"/>
  <c r="F22" i="16"/>
  <c r="S145" i="1"/>
  <c r="O163" i="1"/>
  <c r="R164" i="1"/>
  <c r="T146" i="1"/>
  <c r="S146" i="1"/>
  <c r="J4" i="16" s="1"/>
  <c r="J46" i="16" s="1"/>
  <c r="P163" i="1"/>
  <c r="T145" i="1"/>
  <c r="Q163" i="1"/>
  <c r="P60" i="1"/>
  <c r="P68" i="1"/>
  <c r="Q37" i="1"/>
  <c r="S37" i="1" s="1"/>
  <c r="Q38" i="1"/>
  <c r="T38" i="1" s="1"/>
  <c r="Q54" i="1"/>
  <c r="T54" i="1" s="1"/>
  <c r="Q53" i="1"/>
  <c r="S53" i="1" s="1"/>
  <c r="AR133" i="1"/>
  <c r="BE133" i="1"/>
  <c r="AR158" i="1"/>
  <c r="BE158" i="1"/>
  <c r="Q58" i="1"/>
  <c r="N86" i="21" l="1"/>
  <c r="R86" i="21" s="1"/>
  <c r="N13" i="21"/>
  <c r="R13" i="21" s="1"/>
  <c r="N12" i="21"/>
  <c r="R12" i="21" s="1"/>
  <c r="L14" i="22"/>
  <c r="I13" i="21"/>
  <c r="Q13" i="21" s="1"/>
  <c r="AF10" i="4"/>
  <c r="O12" i="21"/>
  <c r="S12" i="21"/>
  <c r="P86" i="21"/>
  <c r="O86" i="21"/>
  <c r="I19" i="22"/>
  <c r="C19" i="22" s="1"/>
  <c r="H85" i="21"/>
  <c r="T85" i="21" s="1"/>
  <c r="P12" i="21"/>
  <c r="H21" i="21"/>
  <c r="T21" i="21" s="1"/>
  <c r="BN144" i="1"/>
  <c r="BN147" i="1" s="1"/>
  <c r="G79" i="16" s="1"/>
  <c r="Q11" i="21"/>
  <c r="G21" i="21"/>
  <c r="S21" i="21" s="1"/>
  <c r="I16" i="22"/>
  <c r="C16" i="22" s="1"/>
  <c r="AR132" i="1"/>
  <c r="F21" i="21"/>
  <c r="N21" i="21" s="1"/>
  <c r="R21" i="21" s="1"/>
  <c r="J132" i="1"/>
  <c r="F85" i="21" s="1"/>
  <c r="G89" i="21"/>
  <c r="V6" i="16"/>
  <c r="W6" i="16" s="1"/>
  <c r="O85" i="21"/>
  <c r="N37" i="16"/>
  <c r="T6" i="16"/>
  <c r="BE132" i="1"/>
  <c r="I12" i="21"/>
  <c r="Q12" i="21" s="1"/>
  <c r="C80" i="16"/>
  <c r="D92" i="16"/>
  <c r="L19" i="22"/>
  <c r="C20" i="22"/>
  <c r="L20" i="22"/>
  <c r="C94" i="16"/>
  <c r="BO144" i="1"/>
  <c r="BO147" i="1" s="1"/>
  <c r="H79" i="16" s="1"/>
  <c r="H92" i="16" s="1"/>
  <c r="O149" i="1"/>
  <c r="F83" i="16" s="1"/>
  <c r="O148" i="1"/>
  <c r="F82" i="16" s="1"/>
  <c r="BM144" i="1"/>
  <c r="BM147" i="1" s="1"/>
  <c r="F79" i="16" s="1"/>
  <c r="F92" i="16" s="1"/>
  <c r="N149" i="1"/>
  <c r="E83" i="16" s="1"/>
  <c r="BL144" i="1"/>
  <c r="BL147" i="1" s="1"/>
  <c r="E79" i="16" s="1"/>
  <c r="E92" i="16" s="1"/>
  <c r="E27" i="16"/>
  <c r="E62" i="16" s="1"/>
  <c r="E63" i="16" s="1"/>
  <c r="E78" i="16" s="1"/>
  <c r="E93" i="16" s="1"/>
  <c r="N153" i="1"/>
  <c r="E87" i="16" s="1"/>
  <c r="N154" i="1"/>
  <c r="N148" i="1"/>
  <c r="E82" i="16" s="1"/>
  <c r="O152" i="1"/>
  <c r="F86" i="16" s="1"/>
  <c r="M149" i="1"/>
  <c r="D83" i="16" s="1"/>
  <c r="C64" i="16"/>
  <c r="D27" i="16"/>
  <c r="D62" i="16" s="1"/>
  <c r="D63" i="16" s="1"/>
  <c r="AG12" i="4"/>
  <c r="F27" i="16"/>
  <c r="F62" i="16" s="1"/>
  <c r="O153" i="1"/>
  <c r="F87" i="16" s="1"/>
  <c r="M154" i="1"/>
  <c r="M152" i="1"/>
  <c r="D86" i="16" s="1"/>
  <c r="M153" i="1"/>
  <c r="D87" i="16" s="1"/>
  <c r="M148" i="1"/>
  <c r="D82" i="16" s="1"/>
  <c r="V6" i="4"/>
  <c r="AJ3" i="4" s="1"/>
  <c r="P153" i="1"/>
  <c r="G87" i="16" s="1"/>
  <c r="P152" i="1"/>
  <c r="P148" i="1"/>
  <c r="G82" i="16" s="1"/>
  <c r="P149" i="1"/>
  <c r="G83" i="16" s="1"/>
  <c r="P154" i="1"/>
  <c r="AI4" i="4"/>
  <c r="AG10" i="4" s="1"/>
  <c r="V38" i="16"/>
  <c r="W7" i="16"/>
  <c r="W38" i="16" s="1"/>
  <c r="X7" i="16"/>
  <c r="X38" i="16" s="1"/>
  <c r="AC7" i="16"/>
  <c r="AC38" i="16" s="1"/>
  <c r="AB7" i="16"/>
  <c r="AB38" i="16" s="1"/>
  <c r="AA7" i="16"/>
  <c r="AA38" i="16" s="1"/>
  <c r="Y7" i="16"/>
  <c r="Y38" i="16" s="1"/>
  <c r="T47" i="16"/>
  <c r="AX145" i="1"/>
  <c r="F5" i="5"/>
  <c r="AM145" i="1"/>
  <c r="J5" i="16"/>
  <c r="J59" i="16" s="1"/>
  <c r="E5" i="5"/>
  <c r="I73" i="16"/>
  <c r="F30" i="16"/>
  <c r="F42" i="16" s="1"/>
  <c r="J72" i="16"/>
  <c r="H30" i="16"/>
  <c r="H42" i="16" s="1"/>
  <c r="G30" i="16"/>
  <c r="G42" i="16" s="1"/>
  <c r="G77" i="16"/>
  <c r="G56" i="16"/>
  <c r="G35" i="16"/>
  <c r="G61" i="16"/>
  <c r="G63" i="16" s="1"/>
  <c r="G78" i="16" s="1"/>
  <c r="G93" i="16" s="1"/>
  <c r="F61" i="16"/>
  <c r="H35" i="16"/>
  <c r="H61" i="16"/>
  <c r="H63" i="16" s="1"/>
  <c r="H78" i="16" s="1"/>
  <c r="D56" i="16"/>
  <c r="E56" i="16"/>
  <c r="Z38" i="16"/>
  <c r="AD9" i="16"/>
  <c r="AD8" i="16"/>
  <c r="AA29" i="5"/>
  <c r="AO145" i="1"/>
  <c r="F12" i="5"/>
  <c r="F10" i="5"/>
  <c r="E11" i="5"/>
  <c r="AD13" i="16"/>
  <c r="AD10" i="16"/>
  <c r="V23" i="16"/>
  <c r="AP145" i="1"/>
  <c r="AJ145" i="1"/>
  <c r="AI145" i="1"/>
  <c r="AL145" i="1"/>
  <c r="AK145" i="1"/>
  <c r="P29" i="5"/>
  <c r="AN145" i="1"/>
  <c r="T23" i="16"/>
  <c r="T37" i="16" s="1"/>
  <c r="L37" i="16"/>
  <c r="S164" i="1"/>
  <c r="J30" i="16" s="1"/>
  <c r="I30" i="16"/>
  <c r="I42" i="16" s="1"/>
  <c r="AY145" i="1"/>
  <c r="BA145" i="1"/>
  <c r="J22" i="16"/>
  <c r="J61" i="16" s="1"/>
  <c r="AV145" i="1"/>
  <c r="T164" i="1"/>
  <c r="AY164" i="1" s="1"/>
  <c r="BB145" i="1"/>
  <c r="BC145" i="1"/>
  <c r="AZ145" i="1"/>
  <c r="AW145" i="1"/>
  <c r="AM146" i="1"/>
  <c r="P4" i="16" s="1"/>
  <c r="P46" i="16" s="1"/>
  <c r="AI146" i="1"/>
  <c r="L4" i="16" s="1"/>
  <c r="AN146" i="1"/>
  <c r="Q4" i="16" s="1"/>
  <c r="Q46" i="16" s="1"/>
  <c r="AJ146" i="1"/>
  <c r="AP146" i="1"/>
  <c r="S4" i="16" s="1"/>
  <c r="S46" i="16" s="1"/>
  <c r="AL146" i="1"/>
  <c r="AO146" i="1"/>
  <c r="R4" i="16" s="1"/>
  <c r="R46" i="16" s="1"/>
  <c r="AK146" i="1"/>
  <c r="AZ146" i="1"/>
  <c r="AV146" i="1"/>
  <c r="BA146" i="1"/>
  <c r="AW146" i="1"/>
  <c r="BC146" i="1"/>
  <c r="AY146" i="1"/>
  <c r="BB146" i="1"/>
  <c r="AX146" i="1"/>
  <c r="F32" i="5"/>
  <c r="E32" i="5"/>
  <c r="Q60" i="1"/>
  <c r="Q68" i="1"/>
  <c r="E9" i="5"/>
  <c r="P19" i="5"/>
  <c r="AA19" i="5"/>
  <c r="S38" i="1"/>
  <c r="S54" i="1"/>
  <c r="AO53" i="1"/>
  <c r="AL53" i="1"/>
  <c r="AI53" i="1"/>
  <c r="AN53" i="1"/>
  <c r="AK53" i="1"/>
  <c r="AP53" i="1"/>
  <c r="AJ53" i="1"/>
  <c r="AM53" i="1"/>
  <c r="AP37" i="1"/>
  <c r="AK37" i="1"/>
  <c r="AN37" i="1"/>
  <c r="AL37" i="1"/>
  <c r="AJ37" i="1"/>
  <c r="AM37" i="1"/>
  <c r="AO37" i="1"/>
  <c r="AI37" i="1"/>
  <c r="AY38" i="1"/>
  <c r="BB38" i="1"/>
  <c r="BC38" i="1"/>
  <c r="AX38" i="1"/>
  <c r="AZ38" i="1"/>
  <c r="BA38" i="1"/>
  <c r="AW38" i="1"/>
  <c r="AV38" i="1"/>
  <c r="T53" i="1"/>
  <c r="T37" i="1"/>
  <c r="AZ54" i="1"/>
  <c r="AV54" i="1"/>
  <c r="AY54" i="1"/>
  <c r="BC54" i="1"/>
  <c r="AX54" i="1"/>
  <c r="BB54" i="1"/>
  <c r="BA54" i="1"/>
  <c r="AW54" i="1"/>
  <c r="F89" i="21" l="1"/>
  <c r="N89" i="21" s="1"/>
  <c r="R89" i="21" s="1"/>
  <c r="O89" i="21"/>
  <c r="S89" i="21"/>
  <c r="L16" i="22"/>
  <c r="P85" i="21"/>
  <c r="P21" i="21"/>
  <c r="O21" i="21"/>
  <c r="G92" i="16"/>
  <c r="G94" i="16" s="1"/>
  <c r="H89" i="21"/>
  <c r="T89" i="21" s="1"/>
  <c r="O4" i="16"/>
  <c r="O46" i="16" s="1"/>
  <c r="I21" i="21"/>
  <c r="Q21" i="21" s="1"/>
  <c r="N85" i="21"/>
  <c r="R85" i="21" s="1"/>
  <c r="X6" i="16"/>
  <c r="AA6" i="16"/>
  <c r="Z6" i="16"/>
  <c r="AB6" i="16"/>
  <c r="Y6" i="16"/>
  <c r="AC6" i="16"/>
  <c r="J42" i="16"/>
  <c r="D20" i="22"/>
  <c r="G72" i="21"/>
  <c r="S72" i="21" s="1"/>
  <c r="H80" i="16"/>
  <c r="H93" i="16"/>
  <c r="H94" i="16" s="1"/>
  <c r="E94" i="16"/>
  <c r="D35" i="16"/>
  <c r="D64" i="16" s="1"/>
  <c r="E35" i="16"/>
  <c r="E64" i="16" s="1"/>
  <c r="E80" i="16"/>
  <c r="F63" i="16"/>
  <c r="F78" i="16" s="1"/>
  <c r="F35" i="16"/>
  <c r="AJ4" i="4"/>
  <c r="AH10" i="4" s="1"/>
  <c r="AH9" i="4"/>
  <c r="N4" i="16"/>
  <c r="G8" i="21"/>
  <c r="J73" i="16"/>
  <c r="M72" i="16"/>
  <c r="Q148" i="1"/>
  <c r="H82" i="16" s="1"/>
  <c r="G86" i="16"/>
  <c r="Q149" i="1"/>
  <c r="H83" i="16" s="1"/>
  <c r="Q153" i="1"/>
  <c r="H87" i="16" s="1"/>
  <c r="Q152" i="1"/>
  <c r="H86" i="16" s="1"/>
  <c r="Q154" i="1"/>
  <c r="M22" i="16"/>
  <c r="M61" i="16" s="1"/>
  <c r="M4" i="16"/>
  <c r="M46" i="16" s="1"/>
  <c r="L46" i="16"/>
  <c r="J37" i="1"/>
  <c r="J146" i="1"/>
  <c r="F8" i="21" s="1"/>
  <c r="J53" i="1"/>
  <c r="J145" i="1"/>
  <c r="F72" i="21" s="1"/>
  <c r="O22" i="16"/>
  <c r="O61" i="16" s="1"/>
  <c r="AD7" i="16"/>
  <c r="AD38" i="16" s="1"/>
  <c r="V5" i="5"/>
  <c r="W5" i="5"/>
  <c r="S5" i="5"/>
  <c r="P5" i="16"/>
  <c r="L5" i="5"/>
  <c r="Z5" i="5"/>
  <c r="K5" i="5"/>
  <c r="O5" i="16"/>
  <c r="O59" i="16" s="1"/>
  <c r="T5" i="5"/>
  <c r="I5" i="5"/>
  <c r="M5" i="16"/>
  <c r="M59" i="16" s="1"/>
  <c r="J5" i="5"/>
  <c r="N5" i="16"/>
  <c r="Y5" i="5"/>
  <c r="X5" i="5"/>
  <c r="M5" i="5"/>
  <c r="Q5" i="16"/>
  <c r="Q59" i="16" s="1"/>
  <c r="L5" i="16"/>
  <c r="H5" i="5"/>
  <c r="O5" i="5"/>
  <c r="S5" i="16"/>
  <c r="S59" i="16" s="1"/>
  <c r="R5" i="16"/>
  <c r="R59" i="16" s="1"/>
  <c r="N5" i="5"/>
  <c r="U5" i="5"/>
  <c r="G80" i="16"/>
  <c r="G64" i="16"/>
  <c r="H64" i="16"/>
  <c r="D78" i="16"/>
  <c r="D93" i="16" s="1"/>
  <c r="D94" i="16" s="1"/>
  <c r="R22" i="16"/>
  <c r="R61" i="16" s="1"/>
  <c r="Y12" i="5"/>
  <c r="S12" i="5"/>
  <c r="S10" i="5"/>
  <c r="U10" i="5"/>
  <c r="O11" i="5"/>
  <c r="K11" i="5"/>
  <c r="X12" i="5"/>
  <c r="V12" i="5"/>
  <c r="F11" i="5"/>
  <c r="W10" i="5"/>
  <c r="V10" i="5"/>
  <c r="I11" i="5"/>
  <c r="H11" i="5"/>
  <c r="U12" i="5"/>
  <c r="W12" i="5"/>
  <c r="T10" i="5"/>
  <c r="Z10" i="5"/>
  <c r="J11" i="5"/>
  <c r="N11" i="5"/>
  <c r="V44" i="5"/>
  <c r="T12" i="5"/>
  <c r="Z12" i="5"/>
  <c r="X10" i="5"/>
  <c r="Y10" i="5"/>
  <c r="L11" i="5"/>
  <c r="M11" i="5"/>
  <c r="E12" i="5"/>
  <c r="L22" i="16"/>
  <c r="L61" i="16" s="1"/>
  <c r="AB23" i="16"/>
  <c r="AB37" i="16" s="1"/>
  <c r="X23" i="16"/>
  <c r="X37" i="16" s="1"/>
  <c r="Z23" i="16"/>
  <c r="Z37" i="16" s="1"/>
  <c r="AA23" i="16"/>
  <c r="AA37" i="16" s="1"/>
  <c r="Y23" i="16"/>
  <c r="Y37" i="16" s="1"/>
  <c r="W23" i="16"/>
  <c r="AC23" i="16"/>
  <c r="AC37" i="16" s="1"/>
  <c r="V37" i="16"/>
  <c r="AW164" i="1"/>
  <c r="AI164" i="1"/>
  <c r="AO164" i="1"/>
  <c r="AL164" i="1"/>
  <c r="AN164" i="1"/>
  <c r="M44" i="5" s="1"/>
  <c r="AX164" i="1"/>
  <c r="BA164" i="1"/>
  <c r="AR145" i="1"/>
  <c r="BB164" i="1"/>
  <c r="AJ164" i="1"/>
  <c r="AK164" i="1"/>
  <c r="N22" i="16"/>
  <c r="AP164" i="1"/>
  <c r="AM164" i="1"/>
  <c r="S22" i="16"/>
  <c r="S61" i="16" s="1"/>
  <c r="AV164" i="1"/>
  <c r="AZ164" i="1"/>
  <c r="Q22" i="16"/>
  <c r="Q61" i="16" s="1"/>
  <c r="P22" i="16"/>
  <c r="P61" i="16" s="1"/>
  <c r="BC164" i="1"/>
  <c r="BE145" i="1"/>
  <c r="BE146" i="1"/>
  <c r="AR146" i="1"/>
  <c r="Z32" i="5"/>
  <c r="T32" i="5"/>
  <c r="J32" i="5"/>
  <c r="V32" i="5"/>
  <c r="S32" i="5"/>
  <c r="K32" i="5"/>
  <c r="W32" i="5"/>
  <c r="Y32" i="5"/>
  <c r="U32" i="5"/>
  <c r="X32" i="5"/>
  <c r="H32" i="5"/>
  <c r="O32" i="5"/>
  <c r="I32" i="5"/>
  <c r="L32" i="5"/>
  <c r="M32" i="5"/>
  <c r="N32" i="5"/>
  <c r="H9" i="5"/>
  <c r="N9" i="5"/>
  <c r="AI38" i="1"/>
  <c r="E10" i="5"/>
  <c r="L9" i="5"/>
  <c r="I9" i="5"/>
  <c r="K9" i="5"/>
  <c r="M9" i="5"/>
  <c r="F9" i="5"/>
  <c r="J9" i="5"/>
  <c r="O9" i="5"/>
  <c r="AK38" i="1"/>
  <c r="AJ38" i="1"/>
  <c r="AO38" i="1"/>
  <c r="AM38" i="1"/>
  <c r="AP38" i="1"/>
  <c r="AN38" i="1"/>
  <c r="AL38" i="1"/>
  <c r="AL54" i="1"/>
  <c r="AJ54" i="1"/>
  <c r="AM54" i="1"/>
  <c r="AP54" i="1"/>
  <c r="AI54" i="1"/>
  <c r="AK54" i="1"/>
  <c r="AN54" i="1"/>
  <c r="AO54" i="1"/>
  <c r="BE54" i="1"/>
  <c r="AX37" i="1"/>
  <c r="AY37" i="1"/>
  <c r="AW37" i="1"/>
  <c r="BA37" i="1"/>
  <c r="AZ37" i="1"/>
  <c r="BB37" i="1"/>
  <c r="AV37" i="1"/>
  <c r="BC37" i="1"/>
  <c r="AR53" i="1"/>
  <c r="AR37" i="1"/>
  <c r="AX53" i="1"/>
  <c r="AY53" i="1"/>
  <c r="AV53" i="1"/>
  <c r="BC53" i="1"/>
  <c r="AZ53" i="1"/>
  <c r="BA53" i="1"/>
  <c r="BB53" i="1"/>
  <c r="AW53" i="1"/>
  <c r="BE38" i="1"/>
  <c r="S60" i="1"/>
  <c r="T60" i="1"/>
  <c r="T68" i="1"/>
  <c r="S68" i="1"/>
  <c r="G9" i="21" l="1"/>
  <c r="S9" i="21" s="1"/>
  <c r="S8" i="21"/>
  <c r="F9" i="21"/>
  <c r="AD4" i="4"/>
  <c r="O72" i="21"/>
  <c r="P89" i="21"/>
  <c r="AD6" i="16"/>
  <c r="G73" i="21"/>
  <c r="N59" i="16"/>
  <c r="N61" i="16"/>
  <c r="N46" i="16"/>
  <c r="M73" i="16"/>
  <c r="N73" i="16"/>
  <c r="F80" i="16"/>
  <c r="F93" i="16"/>
  <c r="F94" i="16" s="1"/>
  <c r="F64" i="16"/>
  <c r="AH12" i="4"/>
  <c r="AI12" i="4" s="1"/>
  <c r="AI9" i="4"/>
  <c r="AD13" i="4"/>
  <c r="AD14" i="4" s="1"/>
  <c r="AI14" i="4" s="1"/>
  <c r="O8" i="21"/>
  <c r="N72" i="21"/>
  <c r="R72" i="21" s="1"/>
  <c r="F73" i="21"/>
  <c r="N73" i="21" s="1"/>
  <c r="R73" i="21" s="1"/>
  <c r="N8" i="21"/>
  <c r="R8" i="21" s="1"/>
  <c r="I8" i="21"/>
  <c r="I9" i="21" s="1"/>
  <c r="N9" i="21"/>
  <c r="R9" i="21" s="1"/>
  <c r="R139" i="1"/>
  <c r="S142" i="1"/>
  <c r="AO142" i="1" s="1"/>
  <c r="BP141" i="1"/>
  <c r="S140" i="1"/>
  <c r="S138" i="1"/>
  <c r="AK138" i="1" s="1"/>
  <c r="BP142" i="1"/>
  <c r="BP138" i="1"/>
  <c r="T4" i="16"/>
  <c r="V4" i="16"/>
  <c r="X4" i="16" s="1"/>
  <c r="J54" i="1"/>
  <c r="J38" i="1"/>
  <c r="AA5" i="5"/>
  <c r="L59" i="16"/>
  <c r="T5" i="16"/>
  <c r="T59" i="16" s="1"/>
  <c r="V5" i="16"/>
  <c r="P5" i="5"/>
  <c r="D80" i="16"/>
  <c r="P11" i="5"/>
  <c r="AA10" i="5"/>
  <c r="AA12" i="5"/>
  <c r="M12" i="5"/>
  <c r="O12" i="5"/>
  <c r="K10" i="5"/>
  <c r="N10" i="5"/>
  <c r="S44" i="5"/>
  <c r="U44" i="5"/>
  <c r="N44" i="5"/>
  <c r="L10" i="5"/>
  <c r="O44" i="5"/>
  <c r="M30" i="16"/>
  <c r="M42" i="16" s="1"/>
  <c r="X44" i="5"/>
  <c r="F15" i="5"/>
  <c r="W11" i="5"/>
  <c r="U11" i="5"/>
  <c r="Z44" i="5"/>
  <c r="Y44" i="5"/>
  <c r="Q30" i="16"/>
  <c r="Q42" i="16" s="1"/>
  <c r="L30" i="16"/>
  <c r="L42" i="16" s="1"/>
  <c r="E15" i="5"/>
  <c r="X11" i="5"/>
  <c r="V11" i="5"/>
  <c r="N12" i="5"/>
  <c r="H12" i="5"/>
  <c r="K12" i="5"/>
  <c r="H10" i="5"/>
  <c r="W44" i="5"/>
  <c r="F14" i="5"/>
  <c r="T11" i="5"/>
  <c r="Z11" i="5"/>
  <c r="L12" i="5"/>
  <c r="M10" i="5"/>
  <c r="I10" i="5"/>
  <c r="E14" i="5"/>
  <c r="Y11" i="5"/>
  <c r="S11" i="5"/>
  <c r="J12" i="5"/>
  <c r="I12" i="5"/>
  <c r="O10" i="5"/>
  <c r="J10" i="5"/>
  <c r="P30" i="16"/>
  <c r="P42" i="16" s="1"/>
  <c r="K44" i="5"/>
  <c r="T44" i="5"/>
  <c r="O30" i="16"/>
  <c r="O42" i="16" s="1"/>
  <c r="L44" i="5"/>
  <c r="V22" i="16"/>
  <c r="AD23" i="16"/>
  <c r="AD37" i="16" s="1"/>
  <c r="W37" i="16"/>
  <c r="H44" i="5"/>
  <c r="S30" i="16"/>
  <c r="S42" i="16" s="1"/>
  <c r="R30" i="16"/>
  <c r="R42" i="16" s="1"/>
  <c r="I44" i="5"/>
  <c r="AR164" i="1"/>
  <c r="N30" i="16"/>
  <c r="J44" i="5"/>
  <c r="T22" i="16"/>
  <c r="T61" i="16" s="1"/>
  <c r="BE164" i="1"/>
  <c r="AA32" i="5"/>
  <c r="P32" i="5"/>
  <c r="X9" i="5"/>
  <c r="W9" i="5"/>
  <c r="U9" i="5"/>
  <c r="V9" i="5"/>
  <c r="T9" i="5"/>
  <c r="S9" i="5"/>
  <c r="Z9" i="5"/>
  <c r="Y9" i="5"/>
  <c r="AR38" i="1"/>
  <c r="AR54" i="1"/>
  <c r="P9" i="5"/>
  <c r="BE37" i="1"/>
  <c r="BE53" i="1"/>
  <c r="BB60" i="1"/>
  <c r="AX60" i="1"/>
  <c r="BC60" i="1"/>
  <c r="AW60" i="1"/>
  <c r="BA60" i="1"/>
  <c r="AV60" i="1"/>
  <c r="AZ60" i="1"/>
  <c r="AY60" i="1"/>
  <c r="AZ68" i="1"/>
  <c r="AV68" i="1"/>
  <c r="BC68" i="1"/>
  <c r="AX68" i="1"/>
  <c r="BB68" i="1"/>
  <c r="AW68" i="1"/>
  <c r="BA68" i="1"/>
  <c r="AY68" i="1"/>
  <c r="AP60" i="1"/>
  <c r="AL60" i="1"/>
  <c r="AN60" i="1"/>
  <c r="AI60" i="1"/>
  <c r="AM60" i="1"/>
  <c r="AK60" i="1"/>
  <c r="AJ60" i="1"/>
  <c r="AO60" i="1"/>
  <c r="AP68" i="1"/>
  <c r="AL68" i="1"/>
  <c r="AK68" i="1"/>
  <c r="AJ68" i="1"/>
  <c r="AO68" i="1"/>
  <c r="AI68" i="1"/>
  <c r="AN68" i="1"/>
  <c r="AM68" i="1"/>
  <c r="O73" i="21" l="1"/>
  <c r="S73" i="21"/>
  <c r="O9" i="21"/>
  <c r="AL4" i="4"/>
  <c r="D304" i="2" s="1"/>
  <c r="D314" i="2" s="1"/>
  <c r="R143" i="1"/>
  <c r="R149" i="1" s="1"/>
  <c r="I83" i="16" s="1"/>
  <c r="J83" i="16" s="1"/>
  <c r="T46" i="16"/>
  <c r="N42" i="16"/>
  <c r="G56" i="21"/>
  <c r="S56" i="21" s="1"/>
  <c r="AL138" i="1"/>
  <c r="AI15" i="4"/>
  <c r="U143" i="1" s="1"/>
  <c r="T143" i="1" s="1"/>
  <c r="AZ143" i="1" s="1"/>
  <c r="C304" i="2"/>
  <c r="AM138" i="1"/>
  <c r="AM142" i="1"/>
  <c r="H6" i="22" s="1"/>
  <c r="AL142" i="1"/>
  <c r="AN142" i="1"/>
  <c r="AO138" i="1"/>
  <c r="BP144" i="1"/>
  <c r="AJ142" i="1"/>
  <c r="AP142" i="1"/>
  <c r="AI142" i="1"/>
  <c r="AN138" i="1"/>
  <c r="AP138" i="1"/>
  <c r="AI138" i="1"/>
  <c r="AJ138" i="1"/>
  <c r="AK142" i="1"/>
  <c r="I24" i="16"/>
  <c r="I53" i="16" s="1"/>
  <c r="I55" i="16" s="1"/>
  <c r="I77" i="16" s="1"/>
  <c r="S144" i="1"/>
  <c r="AP144" i="1" s="1"/>
  <c r="S141" i="1"/>
  <c r="Y144" i="1" s="1"/>
  <c r="AL140" i="1"/>
  <c r="AJ140" i="1"/>
  <c r="BP139" i="1"/>
  <c r="S139" i="1"/>
  <c r="AI139" i="1" s="1"/>
  <c r="BP140" i="1"/>
  <c r="Q8" i="21"/>
  <c r="Q9" i="21"/>
  <c r="AN140" i="1"/>
  <c r="AO140" i="1"/>
  <c r="T141" i="1"/>
  <c r="BB141" i="1" s="1"/>
  <c r="T140" i="1"/>
  <c r="BB140" i="1" s="1"/>
  <c r="U139" i="1"/>
  <c r="T139" i="1" s="1"/>
  <c r="T142" i="1"/>
  <c r="T138" i="1"/>
  <c r="AW138" i="1" s="1"/>
  <c r="AP140" i="1"/>
  <c r="AM140" i="1"/>
  <c r="H7" i="22" s="1"/>
  <c r="AI140" i="1"/>
  <c r="AK140" i="1"/>
  <c r="Y4" i="16"/>
  <c r="AC4" i="16"/>
  <c r="W4" i="16"/>
  <c r="Z4" i="16"/>
  <c r="AA4" i="16"/>
  <c r="AB4" i="16"/>
  <c r="J68" i="1"/>
  <c r="J60" i="1"/>
  <c r="Y5" i="16"/>
  <c r="AB5" i="16"/>
  <c r="AC5" i="16"/>
  <c r="Z5" i="16"/>
  <c r="W5" i="16"/>
  <c r="X5" i="16"/>
  <c r="AA5" i="16"/>
  <c r="P10" i="5"/>
  <c r="AA11" i="5"/>
  <c r="P12" i="5"/>
  <c r="AA44" i="5"/>
  <c r="N15" i="5"/>
  <c r="O15" i="5"/>
  <c r="L14" i="5"/>
  <c r="O14" i="5"/>
  <c r="T15" i="5"/>
  <c r="S15" i="5"/>
  <c r="S14" i="5"/>
  <c r="U14" i="5"/>
  <c r="L15" i="5"/>
  <c r="I15" i="5"/>
  <c r="N14" i="5"/>
  <c r="H14" i="5"/>
  <c r="Y15" i="5"/>
  <c r="W15" i="5"/>
  <c r="X14" i="5"/>
  <c r="Y14" i="5"/>
  <c r="M15" i="5"/>
  <c r="J15" i="5"/>
  <c r="I14" i="5"/>
  <c r="M14" i="5"/>
  <c r="V15" i="5"/>
  <c r="U15" i="5"/>
  <c r="V14" i="5"/>
  <c r="T14" i="5"/>
  <c r="H15" i="5"/>
  <c r="K15" i="5"/>
  <c r="J14" i="5"/>
  <c r="K14" i="5"/>
  <c r="X15" i="5"/>
  <c r="Z15" i="5"/>
  <c r="W14" i="5"/>
  <c r="Z14" i="5"/>
  <c r="AA22" i="16"/>
  <c r="W22" i="16"/>
  <c r="AC22" i="16"/>
  <c r="Y22" i="16"/>
  <c r="Z22" i="16"/>
  <c r="AB22" i="16"/>
  <c r="X22" i="16"/>
  <c r="V30" i="16"/>
  <c r="V42" i="16" s="1"/>
  <c r="P44" i="5"/>
  <c r="T30" i="16"/>
  <c r="T42" i="16" s="1"/>
  <c r="AA9" i="5"/>
  <c r="O39" i="5"/>
  <c r="Z39" i="5"/>
  <c r="N39" i="5"/>
  <c r="Y39" i="5"/>
  <c r="U39" i="5"/>
  <c r="S39" i="5"/>
  <c r="V39" i="5"/>
  <c r="X39" i="5"/>
  <c r="W39" i="5"/>
  <c r="BE68" i="1"/>
  <c r="BE60" i="1"/>
  <c r="AR68" i="1"/>
  <c r="AR60" i="1"/>
  <c r="R148" i="1" l="1"/>
  <c r="S148" i="1" s="1"/>
  <c r="R153" i="1"/>
  <c r="I87" i="16" s="1"/>
  <c r="J87" i="16" s="1"/>
  <c r="M87" i="16" s="1"/>
  <c r="R154" i="1"/>
  <c r="S154" i="1" s="1"/>
  <c r="R152" i="1"/>
  <c r="I86" i="16" s="1"/>
  <c r="J86" i="16" s="1"/>
  <c r="N86" i="16" s="1"/>
  <c r="BP143" i="1"/>
  <c r="S143" i="1"/>
  <c r="E31" i="5" s="1"/>
  <c r="I27" i="16"/>
  <c r="O56" i="21"/>
  <c r="E304" i="2"/>
  <c r="C314" i="2"/>
  <c r="AK139" i="1"/>
  <c r="H56" i="21"/>
  <c r="T56" i="21" s="1"/>
  <c r="M83" i="16"/>
  <c r="N83" i="16"/>
  <c r="N87" i="16"/>
  <c r="BC143" i="1"/>
  <c r="BA143" i="1"/>
  <c r="AW143" i="1"/>
  <c r="AX143" i="1"/>
  <c r="AV143" i="1"/>
  <c r="AY143" i="1"/>
  <c r="BB143" i="1"/>
  <c r="G58" i="21"/>
  <c r="S58" i="21" s="1"/>
  <c r="F7" i="22"/>
  <c r="H58" i="21"/>
  <c r="T58" i="21" s="1"/>
  <c r="G7" i="22"/>
  <c r="G60" i="21"/>
  <c r="S60" i="21" s="1"/>
  <c r="F6" i="22"/>
  <c r="H60" i="21"/>
  <c r="T60" i="21" s="1"/>
  <c r="G6" i="22"/>
  <c r="AM139" i="1"/>
  <c r="AN139" i="1"/>
  <c r="AL139" i="1"/>
  <c r="AO139" i="1"/>
  <c r="AJ139" i="1"/>
  <c r="J142" i="1"/>
  <c r="F60" i="21" s="1"/>
  <c r="AK141" i="1"/>
  <c r="AR142" i="1"/>
  <c r="AP139" i="1"/>
  <c r="J138" i="1"/>
  <c r="F56" i="21" s="1"/>
  <c r="AI144" i="1"/>
  <c r="AR138" i="1"/>
  <c r="I82" i="16"/>
  <c r="J82" i="16" s="1"/>
  <c r="AM144" i="1"/>
  <c r="E28" i="5"/>
  <c r="AJ144" i="1"/>
  <c r="AN144" i="1"/>
  <c r="AO144" i="1"/>
  <c r="AN141" i="1"/>
  <c r="BC141" i="1"/>
  <c r="M150" i="1"/>
  <c r="D84" i="16" s="1"/>
  <c r="AO141" i="1"/>
  <c r="AW141" i="1"/>
  <c r="BC140" i="1"/>
  <c r="BA140" i="1"/>
  <c r="AV140" i="1"/>
  <c r="AZ140" i="1"/>
  <c r="AM141" i="1"/>
  <c r="I36" i="16"/>
  <c r="I56" i="16" s="1"/>
  <c r="AX140" i="1"/>
  <c r="AL141" i="1"/>
  <c r="AY140" i="1"/>
  <c r="AJ141" i="1"/>
  <c r="AP141" i="1"/>
  <c r="J24" i="16"/>
  <c r="J53" i="16" s="1"/>
  <c r="J55" i="16" s="1"/>
  <c r="AW140" i="1"/>
  <c r="AI141" i="1"/>
  <c r="L24" i="16" s="1"/>
  <c r="L36" i="16" s="1"/>
  <c r="BP147" i="1"/>
  <c r="I79" i="16" s="1"/>
  <c r="AZ141" i="1"/>
  <c r="S149" i="1"/>
  <c r="T144" i="1"/>
  <c r="AV144" i="1" s="1"/>
  <c r="AX141" i="1"/>
  <c r="BA141" i="1"/>
  <c r="AV141" i="1"/>
  <c r="AY138" i="1"/>
  <c r="AY141" i="1"/>
  <c r="BC138" i="1"/>
  <c r="BA138" i="1"/>
  <c r="AX138" i="1"/>
  <c r="AZ138" i="1"/>
  <c r="AX139" i="1"/>
  <c r="BA139" i="1"/>
  <c r="AY139" i="1"/>
  <c r="BC139" i="1"/>
  <c r="AZ139" i="1"/>
  <c r="AW139" i="1"/>
  <c r="BB139" i="1"/>
  <c r="AV139" i="1"/>
  <c r="AX142" i="1"/>
  <c r="BB142" i="1"/>
  <c r="AZ142" i="1"/>
  <c r="AW142" i="1"/>
  <c r="BC142" i="1"/>
  <c r="BA142" i="1"/>
  <c r="AY142" i="1"/>
  <c r="AV142" i="1"/>
  <c r="F28" i="5"/>
  <c r="AV138" i="1"/>
  <c r="BB138" i="1"/>
  <c r="J140" i="1"/>
  <c r="F58" i="21" s="1"/>
  <c r="AR140" i="1"/>
  <c r="J77" i="16"/>
  <c r="AD4" i="16"/>
  <c r="AD5" i="16"/>
  <c r="AA14" i="5"/>
  <c r="P15" i="5"/>
  <c r="AA15" i="5"/>
  <c r="Z30" i="16"/>
  <c r="Z42" i="16" s="1"/>
  <c r="AB30" i="16"/>
  <c r="AB42" i="16" s="1"/>
  <c r="X30" i="16"/>
  <c r="X42" i="16" s="1"/>
  <c r="AA30" i="16"/>
  <c r="AA42" i="16" s="1"/>
  <c r="Y30" i="16"/>
  <c r="Y42" i="16" s="1"/>
  <c r="AC30" i="16"/>
  <c r="AC42" i="16" s="1"/>
  <c r="W30" i="16"/>
  <c r="W42" i="16" s="1"/>
  <c r="AD22" i="16"/>
  <c r="T39" i="5"/>
  <c r="J39" i="5"/>
  <c r="L39" i="5"/>
  <c r="M39" i="5"/>
  <c r="H39" i="5"/>
  <c r="P14" i="5"/>
  <c r="K39" i="5"/>
  <c r="I39" i="5"/>
  <c r="N60" i="21" l="1"/>
  <c r="R60" i="21" s="1"/>
  <c r="I56" i="21"/>
  <c r="Q56" i="21" s="1"/>
  <c r="M86" i="16"/>
  <c r="S152" i="1"/>
  <c r="J27" i="16"/>
  <c r="J62" i="16" s="1"/>
  <c r="J63" i="16" s="1"/>
  <c r="S153" i="1"/>
  <c r="Q24" i="16"/>
  <c r="Q53" i="16" s="1"/>
  <c r="Q55" i="16" s="1"/>
  <c r="Q92" i="16" s="1"/>
  <c r="AK143" i="1"/>
  <c r="AM143" i="1"/>
  <c r="P27" i="16" s="1"/>
  <c r="AJ143" i="1"/>
  <c r="M27" i="16" s="1"/>
  <c r="M35" i="16" s="1"/>
  <c r="AP143" i="1"/>
  <c r="AO143" i="1"/>
  <c r="AN143" i="1"/>
  <c r="Q27" i="16" s="1"/>
  <c r="AL143" i="1"/>
  <c r="AI143" i="1"/>
  <c r="N31" i="5"/>
  <c r="I35" i="16"/>
  <c r="I62" i="16"/>
  <c r="I63" i="16" s="1"/>
  <c r="P56" i="21"/>
  <c r="P58" i="21"/>
  <c r="O60" i="21"/>
  <c r="O58" i="21"/>
  <c r="P60" i="21"/>
  <c r="G57" i="21"/>
  <c r="S57" i="21" s="1"/>
  <c r="F17" i="22"/>
  <c r="F12" i="22"/>
  <c r="G59" i="21"/>
  <c r="S59" i="21" s="1"/>
  <c r="M82" i="16"/>
  <c r="N82" i="16"/>
  <c r="I92" i="16"/>
  <c r="M77" i="16"/>
  <c r="N77" i="16"/>
  <c r="BE143" i="1"/>
  <c r="S31" i="5"/>
  <c r="H17" i="22"/>
  <c r="H12" i="22"/>
  <c r="G12" i="22"/>
  <c r="G17" i="22"/>
  <c r="I6" i="22"/>
  <c r="C6" i="22" s="1"/>
  <c r="D6" i="22" s="1"/>
  <c r="H59" i="21"/>
  <c r="T59" i="21" s="1"/>
  <c r="G3" i="22"/>
  <c r="N24" i="16"/>
  <c r="F3" i="22"/>
  <c r="I7" i="22"/>
  <c r="P24" i="16"/>
  <c r="H3" i="22"/>
  <c r="S24" i="16"/>
  <c r="S53" i="16" s="1"/>
  <c r="S55" i="16" s="1"/>
  <c r="H57" i="21"/>
  <c r="T57" i="21" s="1"/>
  <c r="N56" i="21"/>
  <c r="R56" i="21" s="1"/>
  <c r="N28" i="5"/>
  <c r="J139" i="1"/>
  <c r="F57" i="21" s="1"/>
  <c r="AR139" i="1"/>
  <c r="I60" i="21"/>
  <c r="Q60" i="21" s="1"/>
  <c r="R24" i="16"/>
  <c r="R53" i="16" s="1"/>
  <c r="R55" i="16" s="1"/>
  <c r="J28" i="5"/>
  <c r="L28" i="5"/>
  <c r="M24" i="16"/>
  <c r="M53" i="16" s="1"/>
  <c r="M55" i="16" s="1"/>
  <c r="M92" i="16" s="1"/>
  <c r="J36" i="16"/>
  <c r="J56" i="16" s="1"/>
  <c r="Q150" i="1"/>
  <c r="H84" i="16" s="1"/>
  <c r="O150" i="1"/>
  <c r="F84" i="16" s="1"/>
  <c r="J79" i="16"/>
  <c r="K28" i="5"/>
  <c r="N150" i="1"/>
  <c r="E84" i="16" s="1"/>
  <c r="O24" i="16"/>
  <c r="O36" i="16" s="1"/>
  <c r="AK144" i="1"/>
  <c r="Z144" i="1"/>
  <c r="L151" i="1" s="1"/>
  <c r="H28" i="5"/>
  <c r="BE140" i="1"/>
  <c r="M28" i="5"/>
  <c r="P150" i="1"/>
  <c r="G84" i="16" s="1"/>
  <c r="L150" i="1"/>
  <c r="C84" i="16" s="1"/>
  <c r="AR141" i="1"/>
  <c r="R150" i="1"/>
  <c r="I84" i="16" s="1"/>
  <c r="AW144" i="1"/>
  <c r="T31" i="5" s="1"/>
  <c r="J141" i="1"/>
  <c r="F59" i="21" s="1"/>
  <c r="O28" i="5"/>
  <c r="I28" i="5"/>
  <c r="BB144" i="1"/>
  <c r="Y31" i="5" s="1"/>
  <c r="AZ144" i="1"/>
  <c r="W31" i="5" s="1"/>
  <c r="AX144" i="1"/>
  <c r="U31" i="5" s="1"/>
  <c r="BA144" i="1"/>
  <c r="X31" i="5" s="1"/>
  <c r="V28" i="5"/>
  <c r="BE141" i="1"/>
  <c r="BE138" i="1"/>
  <c r="BC144" i="1"/>
  <c r="Z31" i="5" s="1"/>
  <c r="F31" i="5"/>
  <c r="Z28" i="5"/>
  <c r="U28" i="5"/>
  <c r="T28" i="5"/>
  <c r="W28" i="5"/>
  <c r="X28" i="5"/>
  <c r="S28" i="5"/>
  <c r="Y28" i="5"/>
  <c r="BE142" i="1"/>
  <c r="BE139" i="1"/>
  <c r="N58" i="21"/>
  <c r="R58" i="21" s="1"/>
  <c r="I58" i="21"/>
  <c r="Q58" i="21" s="1"/>
  <c r="L53" i="16"/>
  <c r="L55" i="16" s="1"/>
  <c r="AD30" i="16"/>
  <c r="AD42" i="16" s="1"/>
  <c r="P39" i="5"/>
  <c r="AA39" i="5"/>
  <c r="N59" i="21" l="1"/>
  <c r="R59" i="21" s="1"/>
  <c r="N57" i="21"/>
  <c r="R57" i="21" s="1"/>
  <c r="Q36" i="16"/>
  <c r="Q56" i="16" s="1"/>
  <c r="J2" i="16"/>
  <c r="J35" i="16"/>
  <c r="J64" i="16" s="1"/>
  <c r="I31" i="5"/>
  <c r="M31" i="5"/>
  <c r="L31" i="5"/>
  <c r="J143" i="1"/>
  <c r="F92" i="21" s="1"/>
  <c r="Q35" i="16"/>
  <c r="Q62" i="16"/>
  <c r="Q63" i="16" s="1"/>
  <c r="Q93" i="16" s="1"/>
  <c r="Q2" i="16"/>
  <c r="P62" i="16"/>
  <c r="P63" i="16" s="1"/>
  <c r="P93" i="16" s="1"/>
  <c r="P35" i="16"/>
  <c r="P2" i="16"/>
  <c r="R27" i="16"/>
  <c r="R62" i="16" s="1"/>
  <c r="R63" i="16" s="1"/>
  <c r="AR143" i="1"/>
  <c r="N92" i="21" s="1"/>
  <c r="R92" i="21" s="1"/>
  <c r="O31" i="5"/>
  <c r="S27" i="16"/>
  <c r="H31" i="5"/>
  <c r="M62" i="16"/>
  <c r="M63" i="16" s="1"/>
  <c r="M64" i="16" s="1"/>
  <c r="L27" i="16"/>
  <c r="L62" i="16" s="1"/>
  <c r="L63" i="16" s="1"/>
  <c r="L93" i="16" s="1"/>
  <c r="I78" i="16"/>
  <c r="I64" i="16"/>
  <c r="H92" i="21"/>
  <c r="T92" i="21" s="1"/>
  <c r="G92" i="21"/>
  <c r="S92" i="21" s="1"/>
  <c r="P57" i="21"/>
  <c r="G61" i="21"/>
  <c r="O57" i="21"/>
  <c r="P59" i="21"/>
  <c r="F21" i="22"/>
  <c r="O59" i="21"/>
  <c r="N53" i="16"/>
  <c r="G93" i="21"/>
  <c r="S93" i="21" s="1"/>
  <c r="L56" i="16"/>
  <c r="L92" i="16"/>
  <c r="M79" i="16"/>
  <c r="J92" i="16"/>
  <c r="N79" i="16"/>
  <c r="P36" i="16"/>
  <c r="H21" i="22"/>
  <c r="I17" i="22"/>
  <c r="L17" i="22" s="1"/>
  <c r="R36" i="16"/>
  <c r="R56" i="16" s="1"/>
  <c r="I12" i="22"/>
  <c r="C12" i="22" s="1"/>
  <c r="D16" i="22" s="1"/>
  <c r="N36" i="16"/>
  <c r="P53" i="16"/>
  <c r="P55" i="16" s="1"/>
  <c r="P92" i="16" s="1"/>
  <c r="L6" i="22"/>
  <c r="I3" i="22"/>
  <c r="G21" i="22"/>
  <c r="H61" i="21"/>
  <c r="T61" i="21" s="1"/>
  <c r="L7" i="22"/>
  <c r="C7" i="22"/>
  <c r="D11" i="22" s="1"/>
  <c r="S36" i="16"/>
  <c r="I59" i="21"/>
  <c r="Q59" i="21" s="1"/>
  <c r="I57" i="21"/>
  <c r="Q57" i="21" s="1"/>
  <c r="M2" i="16"/>
  <c r="O151" i="1"/>
  <c r="F85" i="16" s="1"/>
  <c r="F88" i="16" s="1"/>
  <c r="F89" i="16" s="1"/>
  <c r="AY144" i="1"/>
  <c r="V31" i="5" s="1"/>
  <c r="AA31" i="5" s="1"/>
  <c r="M36" i="16"/>
  <c r="M39" i="16" s="1"/>
  <c r="N151" i="1"/>
  <c r="E85" i="16" s="1"/>
  <c r="E88" i="16" s="1"/>
  <c r="E89" i="16" s="1"/>
  <c r="P28" i="5"/>
  <c r="N27" i="16"/>
  <c r="V24" i="16"/>
  <c r="AA24" i="16" s="1"/>
  <c r="AA36" i="16" s="1"/>
  <c r="R151" i="1"/>
  <c r="I85" i="16" s="1"/>
  <c r="I88" i="16" s="1"/>
  <c r="M151" i="1"/>
  <c r="D85" i="16" s="1"/>
  <c r="D88" i="16" s="1"/>
  <c r="D89" i="16" s="1"/>
  <c r="Q151" i="1"/>
  <c r="H85" i="16" s="1"/>
  <c r="H88" i="16" s="1"/>
  <c r="H89" i="16" s="1"/>
  <c r="J31" i="5"/>
  <c r="O53" i="16"/>
  <c r="F61" i="21"/>
  <c r="F66" i="21" s="1"/>
  <c r="T24" i="16"/>
  <c r="T36" i="16" s="1"/>
  <c r="AL144" i="1"/>
  <c r="P151" i="1"/>
  <c r="G85" i="16" s="1"/>
  <c r="G88" i="16" s="1"/>
  <c r="G89" i="16" s="1"/>
  <c r="S150" i="1"/>
  <c r="AA28" i="5"/>
  <c r="K31" i="5"/>
  <c r="C85" i="16"/>
  <c r="J84" i="16"/>
  <c r="T21" i="1"/>
  <c r="S23" i="1"/>
  <c r="S21" i="1"/>
  <c r="S22" i="1"/>
  <c r="T23" i="1"/>
  <c r="O61" i="21" l="1"/>
  <c r="S61" i="21"/>
  <c r="Q39" i="16"/>
  <c r="P39" i="16"/>
  <c r="Q64" i="16"/>
  <c r="R35" i="16"/>
  <c r="R64" i="16" s="1"/>
  <c r="L35" i="16"/>
  <c r="L39" i="16" s="1"/>
  <c r="L94" i="16"/>
  <c r="P92" i="21"/>
  <c r="L2" i="16"/>
  <c r="M93" i="16"/>
  <c r="M94" i="16" s="1"/>
  <c r="O92" i="21"/>
  <c r="J78" i="16"/>
  <c r="I93" i="16"/>
  <c r="I94" i="16" s="1"/>
  <c r="I80" i="16"/>
  <c r="I89" i="16" s="1"/>
  <c r="S35" i="16"/>
  <c r="S39" i="16" s="1"/>
  <c r="S62" i="16"/>
  <c r="S63" i="16" s="1"/>
  <c r="S2" i="16"/>
  <c r="R2" i="16"/>
  <c r="P64" i="16"/>
  <c r="H66" i="21"/>
  <c r="T66" i="21" s="1"/>
  <c r="G94" i="21"/>
  <c r="G66" i="21"/>
  <c r="S66" i="21" s="1"/>
  <c r="H93" i="21"/>
  <c r="T93" i="21" s="1"/>
  <c r="N61" i="21"/>
  <c r="R61" i="21" s="1"/>
  <c r="C17" i="22"/>
  <c r="D19" i="22" s="1"/>
  <c r="Q94" i="16"/>
  <c r="P94" i="16"/>
  <c r="S92" i="16"/>
  <c r="O93" i="21"/>
  <c r="O55" i="16"/>
  <c r="N55" i="16"/>
  <c r="N56" i="16" s="1"/>
  <c r="N2" i="16"/>
  <c r="M84" i="16"/>
  <c r="N84" i="16"/>
  <c r="P56" i="16"/>
  <c r="H22" i="22"/>
  <c r="L12" i="22"/>
  <c r="S56" i="16"/>
  <c r="P61" i="21"/>
  <c r="C3" i="22"/>
  <c r="I21" i="22"/>
  <c r="L3" i="22"/>
  <c r="Z24" i="16"/>
  <c r="Z36" i="16" s="1"/>
  <c r="I61" i="21"/>
  <c r="I66" i="21" s="1"/>
  <c r="N62" i="16"/>
  <c r="P31" i="5"/>
  <c r="W24" i="16"/>
  <c r="W36" i="16" s="1"/>
  <c r="BE144" i="1"/>
  <c r="N35" i="16"/>
  <c r="M56" i="16"/>
  <c r="AC24" i="16"/>
  <c r="AC36" i="16" s="1"/>
  <c r="X24" i="16"/>
  <c r="X36" i="16" s="1"/>
  <c r="AB24" i="16"/>
  <c r="AB36" i="16" s="1"/>
  <c r="Y24" i="16"/>
  <c r="Y36" i="16" s="1"/>
  <c r="V36" i="16"/>
  <c r="T53" i="16"/>
  <c r="T55" i="16" s="1"/>
  <c r="T56" i="16" s="1"/>
  <c r="S151" i="1"/>
  <c r="S155" i="1" s="1"/>
  <c r="J85" i="16"/>
  <c r="J144" i="1"/>
  <c r="F93" i="21" s="1"/>
  <c r="O27" i="16"/>
  <c r="O62" i="16" s="1"/>
  <c r="AR144" i="1"/>
  <c r="C88" i="16"/>
  <c r="AV23" i="1"/>
  <c r="S8" i="5" s="1"/>
  <c r="AI23" i="1"/>
  <c r="AB2" i="1"/>
  <c r="S2" i="1"/>
  <c r="Y2" i="1"/>
  <c r="AD2" i="1"/>
  <c r="AC2" i="1"/>
  <c r="X2" i="1"/>
  <c r="AA2" i="1"/>
  <c r="W2" i="1"/>
  <c r="Z2" i="1"/>
  <c r="E6" i="5"/>
  <c r="AV21" i="1"/>
  <c r="S6" i="5" s="1"/>
  <c r="AO22" i="1"/>
  <c r="E7" i="5"/>
  <c r="AP22" i="1"/>
  <c r="AL22" i="1"/>
  <c r="AJ22" i="1"/>
  <c r="AM22" i="1"/>
  <c r="AI22" i="1"/>
  <c r="AN22" i="1"/>
  <c r="AK22" i="1"/>
  <c r="AM23" i="1"/>
  <c r="AP23" i="1"/>
  <c r="AO23" i="1"/>
  <c r="E8" i="5"/>
  <c r="AN23" i="1"/>
  <c r="AK23" i="1"/>
  <c r="AJ23" i="1"/>
  <c r="AL23" i="1"/>
  <c r="AZ21" i="1"/>
  <c r="AW21" i="1"/>
  <c r="AX21" i="1"/>
  <c r="BA21" i="1"/>
  <c r="F6" i="5"/>
  <c r="BB21" i="1"/>
  <c r="BC21" i="1"/>
  <c r="AY21" i="1"/>
  <c r="BB23" i="1"/>
  <c r="BC23" i="1"/>
  <c r="AZ23" i="1"/>
  <c r="F8" i="5"/>
  <c r="AX23" i="1"/>
  <c r="BA23" i="1"/>
  <c r="AW23" i="1"/>
  <c r="AY23" i="1"/>
  <c r="AO21" i="1"/>
  <c r="AP21" i="1"/>
  <c r="AN21" i="1"/>
  <c r="AI21" i="1"/>
  <c r="AK21" i="1"/>
  <c r="T22" i="1"/>
  <c r="AM21" i="1"/>
  <c r="AL21" i="1"/>
  <c r="AJ21" i="1"/>
  <c r="O94" i="21" l="1"/>
  <c r="S94" i="21"/>
  <c r="F94" i="21"/>
  <c r="F95" i="21" s="1"/>
  <c r="R39" i="16"/>
  <c r="L64" i="16"/>
  <c r="S93" i="16"/>
  <c r="S94" i="16" s="1"/>
  <c r="S64" i="16"/>
  <c r="P93" i="21"/>
  <c r="N78" i="16"/>
  <c r="M78" i="16"/>
  <c r="J93" i="16"/>
  <c r="J94" i="16" s="1"/>
  <c r="J80" i="16"/>
  <c r="H94" i="21"/>
  <c r="T94" i="21" s="1"/>
  <c r="O66" i="21"/>
  <c r="G97" i="21"/>
  <c r="H97" i="21"/>
  <c r="P66" i="21"/>
  <c r="G95" i="21"/>
  <c r="S95" i="21" s="1"/>
  <c r="N66" i="21"/>
  <c r="R66" i="21" s="1"/>
  <c r="F97" i="21"/>
  <c r="Q66" i="21"/>
  <c r="I97" i="21"/>
  <c r="I99" i="21" s="1"/>
  <c r="O92" i="16"/>
  <c r="O63" i="16"/>
  <c r="O93" i="16" s="1"/>
  <c r="O56" i="16"/>
  <c r="N63" i="16"/>
  <c r="N93" i="16" s="1"/>
  <c r="N92" i="16"/>
  <c r="M85" i="16"/>
  <c r="N85" i="16"/>
  <c r="Q61" i="21"/>
  <c r="D5" i="22"/>
  <c r="C21" i="22"/>
  <c r="E20" i="22" s="1"/>
  <c r="N39" i="16"/>
  <c r="AD24" i="16"/>
  <c r="AD36" i="16" s="1"/>
  <c r="O2" i="16"/>
  <c r="T2" i="16" s="1"/>
  <c r="V27" i="16"/>
  <c r="AC27" i="16" s="1"/>
  <c r="AC35" i="16" s="1"/>
  <c r="AC39" i="16" s="1"/>
  <c r="AC40" i="16" s="1"/>
  <c r="O35" i="16"/>
  <c r="O39" i="16" s="1"/>
  <c r="T27" i="16"/>
  <c r="T35" i="16" s="1"/>
  <c r="T39" i="16" s="1"/>
  <c r="N93" i="21"/>
  <c r="R93" i="21" s="1"/>
  <c r="C89" i="16"/>
  <c r="J89" i="16" s="1"/>
  <c r="M89" i="16" s="1"/>
  <c r="J88" i="16"/>
  <c r="N94" i="21"/>
  <c r="R94" i="21" s="1"/>
  <c r="J22" i="1"/>
  <c r="J21" i="1"/>
  <c r="J23" i="1"/>
  <c r="H8" i="5"/>
  <c r="H40" i="5" s="1"/>
  <c r="AI2" i="1"/>
  <c r="V8" i="5"/>
  <c r="V40" i="5" s="1"/>
  <c r="AA3" i="1"/>
  <c r="X8" i="5"/>
  <c r="X40" i="5" s="1"/>
  <c r="Z8" i="5"/>
  <c r="Z40" i="5" s="1"/>
  <c r="K8" i="5"/>
  <c r="K40" i="5" s="1"/>
  <c r="J7" i="5"/>
  <c r="I7" i="5"/>
  <c r="I38" i="5" s="1"/>
  <c r="N7" i="5"/>
  <c r="N38" i="5" s="1"/>
  <c r="AJ2" i="1"/>
  <c r="AO2" i="1"/>
  <c r="U8" i="5"/>
  <c r="U40" i="5" s="1"/>
  <c r="Y8" i="5"/>
  <c r="Y40" i="5" s="1"/>
  <c r="I8" i="5"/>
  <c r="I40" i="5" s="1"/>
  <c r="N8" i="5"/>
  <c r="N40" i="5" s="1"/>
  <c r="M7" i="5"/>
  <c r="M38" i="5" s="1"/>
  <c r="K7" i="5"/>
  <c r="K38" i="5" s="1"/>
  <c r="J8" i="5"/>
  <c r="O8" i="5"/>
  <c r="O40" i="5" s="1"/>
  <c r="O7" i="5"/>
  <c r="O38" i="5" s="1"/>
  <c r="AM2" i="1"/>
  <c r="T8" i="5"/>
  <c r="T40" i="5" s="1"/>
  <c r="W8" i="5"/>
  <c r="W40" i="5" s="1"/>
  <c r="M8" i="5"/>
  <c r="M40" i="5" s="1"/>
  <c r="L8" i="5"/>
  <c r="L40" i="5" s="1"/>
  <c r="L7" i="5"/>
  <c r="L38" i="5" s="1"/>
  <c r="AB3" i="1"/>
  <c r="X3" i="1"/>
  <c r="AN2" i="1"/>
  <c r="Z3" i="1"/>
  <c r="AL2" i="1"/>
  <c r="W3" i="1"/>
  <c r="AP2" i="1"/>
  <c r="T3" i="1"/>
  <c r="AC3" i="1"/>
  <c r="AD3" i="1"/>
  <c r="AK2" i="1"/>
  <c r="Y3" i="1"/>
  <c r="BE21" i="1"/>
  <c r="E3" i="5"/>
  <c r="V6" i="5"/>
  <c r="X6" i="5"/>
  <c r="T6" i="5"/>
  <c r="AF2" i="1"/>
  <c r="BE23" i="1"/>
  <c r="N6" i="5"/>
  <c r="Z6" i="5"/>
  <c r="Y6" i="5"/>
  <c r="U6" i="5"/>
  <c r="W6" i="5"/>
  <c r="K6" i="5"/>
  <c r="I6" i="5"/>
  <c r="L6" i="5"/>
  <c r="J6" i="5"/>
  <c r="M6" i="5"/>
  <c r="BA22" i="1"/>
  <c r="BB22" i="1"/>
  <c r="F7" i="5"/>
  <c r="F3" i="5" s="1"/>
  <c r="AW22" i="1"/>
  <c r="AY22" i="1"/>
  <c r="AX22" i="1"/>
  <c r="AV22" i="1"/>
  <c r="BC22" i="1"/>
  <c r="AZ22" i="1"/>
  <c r="AR21" i="1"/>
  <c r="H6" i="5"/>
  <c r="O6" i="5"/>
  <c r="S37" i="5"/>
  <c r="AR23" i="1"/>
  <c r="AR22" i="1"/>
  <c r="H7" i="5"/>
  <c r="S40" i="5"/>
  <c r="P94" i="21" l="1"/>
  <c r="H95" i="21"/>
  <c r="T95" i="21" s="1"/>
  <c r="M80" i="16"/>
  <c r="N80" i="16"/>
  <c r="O95" i="21"/>
  <c r="G98" i="21"/>
  <c r="G99" i="21" s="1"/>
  <c r="N95" i="21"/>
  <c r="R95" i="21" s="1"/>
  <c r="F98" i="21"/>
  <c r="F99" i="21" s="1"/>
  <c r="O94" i="16"/>
  <c r="R92" i="16"/>
  <c r="N94" i="16"/>
  <c r="R93" i="16"/>
  <c r="J38" i="5"/>
  <c r="N64" i="16"/>
  <c r="J40" i="5"/>
  <c r="P40" i="5" s="1"/>
  <c r="M88" i="16"/>
  <c r="N88" i="16"/>
  <c r="T62" i="16"/>
  <c r="T63" i="16" s="1"/>
  <c r="T64" i="16" s="1"/>
  <c r="E6" i="22"/>
  <c r="E16" i="22"/>
  <c r="E11" i="22"/>
  <c r="E19" i="22"/>
  <c r="E5" i="22"/>
  <c r="AB27" i="16"/>
  <c r="AB35" i="16" s="1"/>
  <c r="AB39" i="16" s="1"/>
  <c r="AB40" i="16" s="1"/>
  <c r="W27" i="16"/>
  <c r="W35" i="16" s="1"/>
  <c r="W39" i="16" s="1"/>
  <c r="W40" i="16" s="1"/>
  <c r="V35" i="16"/>
  <c r="V39" i="16" s="1"/>
  <c r="X27" i="16"/>
  <c r="X35" i="16" s="1"/>
  <c r="X39" i="16" s="1"/>
  <c r="X40" i="16" s="1"/>
  <c r="AA27" i="16"/>
  <c r="AA35" i="16" s="1"/>
  <c r="AA39" i="16" s="1"/>
  <c r="AA40" i="16" s="1"/>
  <c r="Y27" i="16"/>
  <c r="Y35" i="16" s="1"/>
  <c r="Y39" i="16" s="1"/>
  <c r="Y40" i="16" s="1"/>
  <c r="O64" i="16"/>
  <c r="Z27" i="16"/>
  <c r="Z35" i="16" s="1"/>
  <c r="Z39" i="16" s="1"/>
  <c r="Z40" i="16" s="1"/>
  <c r="J2" i="1"/>
  <c r="AA8" i="5"/>
  <c r="P8" i="5"/>
  <c r="U7" i="5"/>
  <c r="U38" i="5" s="1"/>
  <c r="Y7" i="5"/>
  <c r="Y38" i="5" s="1"/>
  <c r="AA40" i="5"/>
  <c r="W7" i="5"/>
  <c r="W38" i="5" s="1"/>
  <c r="X7" i="5"/>
  <c r="X38" i="5" s="1"/>
  <c r="V7" i="5"/>
  <c r="V38" i="5" s="1"/>
  <c r="Z7" i="5"/>
  <c r="Z38" i="5" s="1"/>
  <c r="T7" i="5"/>
  <c r="T38" i="5" s="1"/>
  <c r="AV3" i="1"/>
  <c r="BC3" i="1"/>
  <c r="AZ3" i="1"/>
  <c r="BA3" i="1"/>
  <c r="AW3" i="1"/>
  <c r="AX3" i="1"/>
  <c r="AY3" i="1"/>
  <c r="BB3" i="1"/>
  <c r="AA6" i="5"/>
  <c r="AR2" i="1"/>
  <c r="AF3" i="1"/>
  <c r="M37" i="5"/>
  <c r="M42" i="5" s="1"/>
  <c r="M3" i="5"/>
  <c r="M34" i="5"/>
  <c r="X37" i="5"/>
  <c r="K34" i="5"/>
  <c r="K3" i="5"/>
  <c r="K37" i="5"/>
  <c r="K42" i="5" s="1"/>
  <c r="Z37" i="5"/>
  <c r="N34" i="5"/>
  <c r="N37" i="5"/>
  <c r="N42" i="5" s="1"/>
  <c r="N3" i="5"/>
  <c r="T37" i="5"/>
  <c r="V37" i="5"/>
  <c r="Y37" i="5"/>
  <c r="AR5" i="1"/>
  <c r="J34" i="5"/>
  <c r="J37" i="5"/>
  <c r="J3" i="5"/>
  <c r="U37" i="5"/>
  <c r="L37" i="5"/>
  <c r="L42" i="5" s="1"/>
  <c r="L3" i="5"/>
  <c r="L34" i="5"/>
  <c r="P6" i="5"/>
  <c r="H37" i="5"/>
  <c r="H34" i="5"/>
  <c r="H3" i="5"/>
  <c r="S7" i="5"/>
  <c r="BE22" i="1"/>
  <c r="BE3" i="1" s="1"/>
  <c r="H38" i="5"/>
  <c r="P7" i="5"/>
  <c r="O34" i="5"/>
  <c r="O37" i="5"/>
  <c r="O42" i="5" s="1"/>
  <c r="O3" i="5"/>
  <c r="I37" i="5"/>
  <c r="I42" i="5" s="1"/>
  <c r="I34" i="5"/>
  <c r="I3" i="5"/>
  <c r="W37" i="5"/>
  <c r="P95" i="21" l="1"/>
  <c r="H98" i="21"/>
  <c r="H99" i="21" s="1"/>
  <c r="R94" i="16"/>
  <c r="P38" i="5"/>
  <c r="J42" i="5"/>
  <c r="AD27" i="16"/>
  <c r="AD35" i="16" s="1"/>
  <c r="AD39" i="16" s="1"/>
  <c r="T3" i="5"/>
  <c r="W34" i="5"/>
  <c r="U3" i="5"/>
  <c r="Y34" i="5"/>
  <c r="V34" i="5"/>
  <c r="W42" i="5"/>
  <c r="Z34" i="5"/>
  <c r="Y3" i="5"/>
  <c r="W3" i="5"/>
  <c r="Y42" i="5"/>
  <c r="X42" i="5"/>
  <c r="T34" i="5"/>
  <c r="X3" i="5"/>
  <c r="V42" i="5"/>
  <c r="X34" i="5"/>
  <c r="T42" i="5"/>
  <c r="U42" i="5"/>
  <c r="Z3" i="5"/>
  <c r="U34" i="5"/>
  <c r="V3" i="5"/>
  <c r="Z42" i="5"/>
  <c r="J35" i="5"/>
  <c r="P3" i="5"/>
  <c r="M35" i="5"/>
  <c r="AA37" i="5"/>
  <c r="P37" i="5"/>
  <c r="P42" i="5" s="1"/>
  <c r="H42" i="5"/>
  <c r="AA7" i="5"/>
  <c r="AA34" i="5" s="1"/>
  <c r="S38" i="5"/>
  <c r="S34" i="5"/>
  <c r="S3" i="5"/>
  <c r="P34" i="5"/>
  <c r="T2" i="1" l="1"/>
  <c r="AA3" i="5"/>
  <c r="X35" i="5"/>
  <c r="AA38" i="5"/>
  <c r="AA42" i="5" s="1"/>
  <c r="S42" i="5"/>
</calcChain>
</file>

<file path=xl/comments1.xml><?xml version="1.0" encoding="utf-8"?>
<comments xmlns="http://schemas.openxmlformats.org/spreadsheetml/2006/main">
  <authors>
    <author>David Connolly</author>
  </authors>
  <commentList>
    <comment ref="C8" authorId="0">
      <text>
        <r>
          <rPr>
            <b/>
            <sz val="9"/>
            <color indexed="81"/>
            <rFont val="Tahoma"/>
            <family val="2"/>
          </rPr>
          <t>David Connolly:</t>
        </r>
        <r>
          <rPr>
            <sz val="9"/>
            <color indexed="81"/>
            <rFont val="Tahoma"/>
            <family val="2"/>
          </rPr>
          <t xml:space="preserve">
Will be bigger than an average car, but with higher mileage</t>
        </r>
      </text>
    </comment>
    <comment ref="C9" authorId="0">
      <text>
        <r>
          <rPr>
            <b/>
            <sz val="9"/>
            <color indexed="81"/>
            <rFont val="Tahoma"/>
            <family val="2"/>
          </rPr>
          <t>David Connolly:</t>
        </r>
        <r>
          <rPr>
            <sz val="9"/>
            <color indexed="81"/>
            <rFont val="Tahoma"/>
            <family val="2"/>
          </rPr>
          <t xml:space="preserve">
Will be bigger than an average car, but with higher mileage</t>
        </r>
      </text>
    </comment>
    <comment ref="D9" authorId="0">
      <text>
        <r>
          <rPr>
            <b/>
            <sz val="9"/>
            <color indexed="81"/>
            <rFont val="Tahoma"/>
            <family val="2"/>
          </rPr>
          <t>David Connolly:</t>
        </r>
        <r>
          <rPr>
            <sz val="9"/>
            <color indexed="81"/>
            <rFont val="Tahoma"/>
            <family val="2"/>
          </rPr>
          <t xml:space="preserve">
Assume bigger than an average car</t>
        </r>
      </text>
    </comment>
    <comment ref="C12" authorId="0">
      <text>
        <r>
          <rPr>
            <b/>
            <sz val="9"/>
            <color indexed="81"/>
            <rFont val="Tahoma"/>
            <family val="2"/>
          </rPr>
          <t>David Connolly:</t>
        </r>
        <r>
          <rPr>
            <sz val="9"/>
            <color indexed="81"/>
            <rFont val="Tahoma"/>
            <family val="2"/>
          </rPr>
          <t xml:space="preserve">
Email from IW 26/03</t>
        </r>
      </text>
    </comment>
    <comment ref="C52" authorId="0">
      <text>
        <r>
          <rPr>
            <b/>
            <sz val="9"/>
            <color indexed="81"/>
            <rFont val="Tahoma"/>
            <family val="2"/>
          </rPr>
          <t>David Connolly:</t>
        </r>
        <r>
          <rPr>
            <sz val="9"/>
            <color indexed="81"/>
            <rFont val="Tahoma"/>
            <family val="2"/>
          </rPr>
          <t xml:space="preserve">
https://www.busandcoachbuyer.com/euro-vi-retrofit-future/</t>
        </r>
      </text>
    </comment>
    <comment ref="C63" authorId="0">
      <text>
        <r>
          <rPr>
            <b/>
            <sz val="9"/>
            <color indexed="81"/>
            <rFont val="Tahoma"/>
            <family val="2"/>
          </rPr>
          <t>David Connolly:</t>
        </r>
        <r>
          <rPr>
            <sz val="9"/>
            <color indexed="81"/>
            <rFont val="Tahoma"/>
            <family val="2"/>
          </rPr>
          <t xml:space="preserve">
See email exchange with JAQU economists 20/11/18 and 21/11/18</t>
        </r>
      </text>
    </comment>
  </commentList>
</comments>
</file>

<file path=xl/comments2.xml><?xml version="1.0" encoding="utf-8"?>
<comments xmlns="http://schemas.openxmlformats.org/spreadsheetml/2006/main">
  <authors>
    <author>David Connolly</author>
  </authors>
  <commentList>
    <comment ref="C8" authorId="0">
      <text>
        <r>
          <rPr>
            <b/>
            <sz val="9"/>
            <color indexed="81"/>
            <rFont val="Tahoma"/>
            <family val="2"/>
          </rPr>
          <t>David Connolly:</t>
        </r>
        <r>
          <rPr>
            <sz val="9"/>
            <color indexed="81"/>
            <rFont val="Tahoma"/>
            <family val="2"/>
          </rPr>
          <t xml:space="preserve">
Will be bigger than an average car, but with higher mileage</t>
        </r>
      </text>
    </comment>
    <comment ref="C9" authorId="0">
      <text>
        <r>
          <rPr>
            <b/>
            <sz val="9"/>
            <color indexed="81"/>
            <rFont val="Tahoma"/>
            <family val="2"/>
          </rPr>
          <t>David Connolly:</t>
        </r>
        <r>
          <rPr>
            <sz val="9"/>
            <color indexed="81"/>
            <rFont val="Tahoma"/>
            <family val="2"/>
          </rPr>
          <t xml:space="preserve">
Will be bigger than an average car, but with higher mileage</t>
        </r>
      </text>
    </comment>
    <comment ref="D9" authorId="0">
      <text>
        <r>
          <rPr>
            <b/>
            <sz val="9"/>
            <color indexed="81"/>
            <rFont val="Tahoma"/>
            <family val="2"/>
          </rPr>
          <t>David Connolly:</t>
        </r>
        <r>
          <rPr>
            <sz val="9"/>
            <color indexed="81"/>
            <rFont val="Tahoma"/>
            <family val="2"/>
          </rPr>
          <t xml:space="preserve">
Assume bigger than an average car</t>
        </r>
      </text>
    </comment>
    <comment ref="C12" authorId="0">
      <text>
        <r>
          <rPr>
            <b/>
            <sz val="9"/>
            <color indexed="81"/>
            <rFont val="Tahoma"/>
            <family val="2"/>
          </rPr>
          <t>David Connolly:</t>
        </r>
        <r>
          <rPr>
            <sz val="9"/>
            <color indexed="81"/>
            <rFont val="Tahoma"/>
            <family val="2"/>
          </rPr>
          <t xml:space="preserve">
Email from IW 26/03</t>
        </r>
      </text>
    </comment>
    <comment ref="C62" authorId="0">
      <text>
        <r>
          <rPr>
            <b/>
            <sz val="9"/>
            <color indexed="81"/>
            <rFont val="Tahoma"/>
            <family val="2"/>
          </rPr>
          <t>David Connolly:</t>
        </r>
        <r>
          <rPr>
            <sz val="9"/>
            <color indexed="81"/>
            <rFont val="Tahoma"/>
            <family val="2"/>
          </rPr>
          <t xml:space="preserve">
https://www.busandcoachbuyer.com/euro-vi-retrofit-future/</t>
        </r>
      </text>
    </comment>
    <comment ref="C82" authorId="0">
      <text>
        <r>
          <rPr>
            <b/>
            <sz val="9"/>
            <color indexed="81"/>
            <rFont val="Tahoma"/>
            <family val="2"/>
          </rPr>
          <t>David Connolly:</t>
        </r>
        <r>
          <rPr>
            <sz val="9"/>
            <color indexed="81"/>
            <rFont val="Tahoma"/>
            <family val="2"/>
          </rPr>
          <t xml:space="preserve">
See email exchange with JAQU economists 20/11/18 and 21/11/18</t>
        </r>
      </text>
    </comment>
  </commentList>
</comments>
</file>

<file path=xl/comments3.xml><?xml version="1.0" encoding="utf-8"?>
<comments xmlns="http://schemas.openxmlformats.org/spreadsheetml/2006/main">
  <authors>
    <author>David Connolly</author>
  </authors>
  <commentList>
    <comment ref="F10" authorId="0">
      <text>
        <r>
          <rPr>
            <b/>
            <sz val="9"/>
            <color indexed="81"/>
            <rFont val="Tahoma"/>
            <family val="2"/>
          </rPr>
          <t>David Connolly:</t>
        </r>
        <r>
          <rPr>
            <sz val="9"/>
            <color indexed="81"/>
            <rFont val="Tahoma"/>
            <family val="2"/>
          </rPr>
          <t xml:space="preserve">
Need to include something for H&amp;M</t>
        </r>
      </text>
    </comment>
    <comment ref="C18" authorId="0">
      <text>
        <r>
          <rPr>
            <b/>
            <sz val="9"/>
            <color indexed="81"/>
            <rFont val="Tahoma"/>
            <family val="2"/>
          </rPr>
          <t>David Connolly:</t>
        </r>
        <r>
          <rPr>
            <sz val="9"/>
            <color indexed="81"/>
            <rFont val="Tahoma"/>
            <family val="2"/>
          </rPr>
          <t xml:space="preserve">
Need to include something for H&amp;M</t>
        </r>
      </text>
    </comment>
    <comment ref="D18" authorId="0">
      <text>
        <r>
          <rPr>
            <b/>
            <sz val="9"/>
            <color indexed="81"/>
            <rFont val="Tahoma"/>
            <family val="2"/>
          </rPr>
          <t>David Connolly:</t>
        </r>
        <r>
          <rPr>
            <sz val="9"/>
            <color indexed="81"/>
            <rFont val="Tahoma"/>
            <family val="2"/>
          </rPr>
          <t xml:space="preserve">
Need to include something for H&amp;M</t>
        </r>
      </text>
    </comment>
    <comment ref="E18" authorId="0">
      <text>
        <r>
          <rPr>
            <b/>
            <sz val="9"/>
            <color indexed="81"/>
            <rFont val="Tahoma"/>
            <family val="2"/>
          </rPr>
          <t>David Connolly:</t>
        </r>
        <r>
          <rPr>
            <sz val="9"/>
            <color indexed="81"/>
            <rFont val="Tahoma"/>
            <family val="2"/>
          </rPr>
          <t xml:space="preserve">
Need to include something for H&amp;M</t>
        </r>
      </text>
    </comment>
    <comment ref="F18" authorId="0">
      <text>
        <r>
          <rPr>
            <b/>
            <sz val="9"/>
            <color indexed="81"/>
            <rFont val="Tahoma"/>
            <family val="2"/>
          </rPr>
          <t>David Connolly:</t>
        </r>
        <r>
          <rPr>
            <sz val="9"/>
            <color indexed="81"/>
            <rFont val="Tahoma"/>
            <family val="2"/>
          </rPr>
          <t xml:space="preserve">
Need to include something for H&amp;M</t>
        </r>
      </text>
    </comment>
    <comment ref="G39" authorId="0">
      <text>
        <r>
          <rPr>
            <b/>
            <sz val="9"/>
            <color indexed="81"/>
            <rFont val="Tahoma"/>
            <charset val="1"/>
          </rPr>
          <t>David Connolly:</t>
        </r>
        <r>
          <rPr>
            <sz val="9"/>
            <color indexed="81"/>
            <rFont val="Tahoma"/>
            <charset val="1"/>
          </rPr>
          <t xml:space="preserve">
Use the previous 2021-&gt;2024 pattern for now</t>
        </r>
      </text>
    </comment>
  </commentList>
</comments>
</file>

<file path=xl/comments4.xml><?xml version="1.0" encoding="utf-8"?>
<comments xmlns="http://schemas.openxmlformats.org/spreadsheetml/2006/main">
  <authors>
    <author>David Connolly</author>
  </authors>
  <commentList>
    <comment ref="C91" authorId="0">
      <text>
        <r>
          <rPr>
            <b/>
            <sz val="9"/>
            <color indexed="81"/>
            <rFont val="Tahoma"/>
            <family val="2"/>
          </rPr>
          <t>David Connolly:</t>
        </r>
        <r>
          <rPr>
            <sz val="9"/>
            <color indexed="81"/>
            <rFont val="Tahoma"/>
            <family val="2"/>
          </rPr>
          <t xml:space="preserve">
Cap on LPG added 14/12/18)</t>
        </r>
      </text>
    </comment>
    <comment ref="D91" authorId="0">
      <text>
        <r>
          <rPr>
            <b/>
            <sz val="9"/>
            <color indexed="81"/>
            <rFont val="Tahoma"/>
            <family val="2"/>
          </rPr>
          <t>David Connolly:</t>
        </r>
        <r>
          <rPr>
            <sz val="9"/>
            <color indexed="81"/>
            <rFont val="Tahoma"/>
            <family val="2"/>
          </rPr>
          <t xml:space="preserve">
Amended to allow the %LPG to be capped</t>
        </r>
      </text>
    </comment>
    <comment ref="D127" authorId="0">
      <text>
        <r>
          <rPr>
            <b/>
            <sz val="9"/>
            <color indexed="81"/>
            <rFont val="Tahoma"/>
            <family val="2"/>
          </rPr>
          <t>David Connolly:</t>
        </r>
        <r>
          <rPr>
            <sz val="9"/>
            <color indexed="81"/>
            <rFont val="Tahoma"/>
            <family val="2"/>
          </rPr>
          <t xml:space="preserve">
Assume the incentive will be offered to both</t>
        </r>
      </text>
    </comment>
    <comment ref="D152" authorId="0">
      <text>
        <r>
          <rPr>
            <b/>
            <sz val="9"/>
            <color indexed="81"/>
            <rFont val="Tahoma"/>
            <family val="2"/>
          </rPr>
          <t>David Connolly:</t>
        </r>
        <r>
          <rPr>
            <sz val="9"/>
            <color indexed="81"/>
            <rFont val="Tahoma"/>
            <family val="2"/>
          </rPr>
          <t xml:space="preserve">
Bug-fix in V23 - previously was using the user benefit value (= 1/2 of this cost)</t>
        </r>
      </text>
    </comment>
    <comment ref="C167" authorId="0">
      <text>
        <r>
          <rPr>
            <b/>
            <sz val="9"/>
            <color indexed="81"/>
            <rFont val="Tahoma"/>
            <family val="2"/>
          </rPr>
          <t>David Connolly:</t>
        </r>
        <r>
          <rPr>
            <sz val="9"/>
            <color indexed="81"/>
            <rFont val="Tahoma"/>
            <family val="2"/>
          </rPr>
          <t xml:space="preserve">
ANPR Frequency Analysis (CAZ 3C+)</t>
        </r>
      </text>
    </comment>
  </commentList>
</comments>
</file>

<file path=xl/comments5.xml><?xml version="1.0" encoding="utf-8"?>
<comments xmlns="http://schemas.openxmlformats.org/spreadsheetml/2006/main">
  <authors>
    <author>David Connolly</author>
  </authors>
  <commentList>
    <comment ref="C21" authorId="0">
      <text>
        <r>
          <rPr>
            <b/>
            <sz val="9"/>
            <color indexed="81"/>
            <rFont val="Tahoma"/>
            <family val="2"/>
          </rPr>
          <t>David Connolly:</t>
        </r>
        <r>
          <rPr>
            <sz val="9"/>
            <color indexed="81"/>
            <rFont val="Tahoma"/>
            <family val="2"/>
          </rPr>
          <t xml:space="preserve">
Staff &amp; appeals etc etc - based on bus lane costs</t>
        </r>
      </text>
    </comment>
    <comment ref="D21" authorId="0">
      <text>
        <r>
          <rPr>
            <b/>
            <sz val="9"/>
            <color indexed="81"/>
            <rFont val="Tahoma"/>
            <family val="2"/>
          </rPr>
          <t>David Connolly:</t>
        </r>
        <r>
          <rPr>
            <sz val="9"/>
            <color indexed="81"/>
            <rFont val="Tahoma"/>
            <family val="2"/>
          </rPr>
          <t xml:space="preserve">
Staff &amp; appeals etc etc - based on bus lane costs</t>
        </r>
      </text>
    </comment>
    <comment ref="E21" authorId="0">
      <text>
        <r>
          <rPr>
            <b/>
            <sz val="9"/>
            <color indexed="81"/>
            <rFont val="Tahoma"/>
            <family val="2"/>
          </rPr>
          <t>David Connolly:</t>
        </r>
        <r>
          <rPr>
            <sz val="9"/>
            <color indexed="81"/>
            <rFont val="Tahoma"/>
            <family val="2"/>
          </rPr>
          <t xml:space="preserve">
Staff &amp; appeals etc etc - based on bus lane costs</t>
        </r>
      </text>
    </comment>
    <comment ref="F21" authorId="0">
      <text>
        <r>
          <rPr>
            <b/>
            <sz val="9"/>
            <color indexed="81"/>
            <rFont val="Tahoma"/>
            <family val="2"/>
          </rPr>
          <t>David Connolly:</t>
        </r>
        <r>
          <rPr>
            <sz val="9"/>
            <color indexed="81"/>
            <rFont val="Tahoma"/>
            <family val="2"/>
          </rPr>
          <t xml:space="preserve">
Staff &amp; appeals etc etc - based on bus lane costs
As discussed 17/12/18</t>
        </r>
      </text>
    </comment>
  </commentList>
</comments>
</file>

<file path=xl/comments6.xml><?xml version="1.0" encoding="utf-8"?>
<comments xmlns="http://schemas.openxmlformats.org/spreadsheetml/2006/main">
  <authors>
    <author>David Connolly</author>
  </authors>
  <commentList>
    <comment ref="F117" authorId="0">
      <text>
        <r>
          <rPr>
            <b/>
            <sz val="9"/>
            <color indexed="81"/>
            <rFont val="Tahoma"/>
            <family val="2"/>
          </rPr>
          <t>David Connolly:</t>
        </r>
        <r>
          <rPr>
            <sz val="9"/>
            <color indexed="81"/>
            <rFont val="Tahoma"/>
            <family val="2"/>
          </rPr>
          <t xml:space="preserve">
Email from AC 7/12/18</t>
        </r>
      </text>
    </comment>
    <comment ref="C118" authorId="0">
      <text>
        <r>
          <rPr>
            <b/>
            <sz val="9"/>
            <color indexed="81"/>
            <rFont val="Tahoma"/>
            <family val="2"/>
          </rPr>
          <t>David Connolly:</t>
        </r>
        <r>
          <rPr>
            <sz val="9"/>
            <color indexed="81"/>
            <rFont val="Tahoma"/>
            <family val="2"/>
          </rPr>
          <t xml:space="preserve">
Bigger step here, as RMBC need to get involved in CAZ issues in this option</t>
        </r>
      </text>
    </comment>
    <comment ref="C126" authorId="0">
      <text>
        <r>
          <rPr>
            <b/>
            <sz val="9"/>
            <color indexed="81"/>
            <rFont val="Tahoma"/>
            <family val="2"/>
          </rPr>
          <t>David Connolly:</t>
        </r>
        <r>
          <rPr>
            <sz val="9"/>
            <color indexed="81"/>
            <rFont val="Tahoma"/>
            <family val="2"/>
          </rPr>
          <t xml:space="preserve">
Email from AC 7/12/18</t>
        </r>
      </text>
    </comment>
    <comment ref="D126" authorId="0">
      <text>
        <r>
          <rPr>
            <b/>
            <sz val="9"/>
            <color indexed="81"/>
            <rFont val="Tahoma"/>
            <family val="2"/>
          </rPr>
          <t>David Connolly:</t>
        </r>
        <r>
          <rPr>
            <sz val="9"/>
            <color indexed="81"/>
            <rFont val="Tahoma"/>
            <family val="2"/>
          </rPr>
          <t xml:space="preserve">
Email from AC 7/12/18</t>
        </r>
      </text>
    </comment>
    <comment ref="E126" authorId="0">
      <text>
        <r>
          <rPr>
            <b/>
            <sz val="9"/>
            <color indexed="81"/>
            <rFont val="Tahoma"/>
            <family val="2"/>
          </rPr>
          <t>David Connolly:</t>
        </r>
        <r>
          <rPr>
            <sz val="9"/>
            <color indexed="81"/>
            <rFont val="Tahoma"/>
            <family val="2"/>
          </rPr>
          <t xml:space="preserve">
Email from AC 7/12/18</t>
        </r>
      </text>
    </comment>
  </commentList>
</comments>
</file>

<file path=xl/comments7.xml><?xml version="1.0" encoding="utf-8"?>
<comments xmlns="http://schemas.openxmlformats.org/spreadsheetml/2006/main">
  <authors>
    <author>David Connolly</author>
  </authors>
  <commentList>
    <comment ref="R8" authorId="0">
      <text>
        <r>
          <rPr>
            <b/>
            <sz val="9"/>
            <color indexed="81"/>
            <rFont val="Tahoma"/>
            <family val="2"/>
          </rPr>
          <t>David Connolly:</t>
        </r>
        <r>
          <rPr>
            <sz val="9"/>
            <color indexed="81"/>
            <rFont val="Tahoma"/>
            <family val="2"/>
          </rPr>
          <t xml:space="preserve">
Assume CAZ operation stops at end of 2024
</t>
        </r>
      </text>
    </comment>
    <comment ref="R12" authorId="0">
      <text>
        <r>
          <rPr>
            <b/>
            <sz val="9"/>
            <color indexed="81"/>
            <rFont val="Tahoma"/>
            <family val="2"/>
          </rPr>
          <t>David Connolly:</t>
        </r>
        <r>
          <rPr>
            <sz val="9"/>
            <color indexed="81"/>
            <rFont val="Tahoma"/>
            <family val="2"/>
          </rPr>
          <t xml:space="preserve">
Assume CAZ operation stops at end of 2024
</t>
        </r>
      </text>
    </comment>
    <comment ref="AB14" authorId="0">
      <text>
        <r>
          <rPr>
            <b/>
            <sz val="9"/>
            <color indexed="81"/>
            <rFont val="Tahoma"/>
            <family val="2"/>
          </rPr>
          <t>David Connolly:</t>
        </r>
        <r>
          <rPr>
            <sz val="9"/>
            <color indexed="81"/>
            <rFont val="Tahoma"/>
            <family val="2"/>
          </rPr>
          <t xml:space="preserve">
</t>
        </r>
      </text>
    </comment>
    <comment ref="K16" authorId="0">
      <text>
        <r>
          <rPr>
            <b/>
            <sz val="9"/>
            <color indexed="81"/>
            <rFont val="Tahoma"/>
            <family val="2"/>
          </rPr>
          <t>David Connolly:</t>
        </r>
        <r>
          <rPr>
            <sz val="9"/>
            <color indexed="81"/>
            <rFont val="Tahoma"/>
            <family val="2"/>
          </rPr>
          <t xml:space="preserve">
Just used to get the cumulative started</t>
        </r>
      </text>
    </comment>
    <comment ref="K17" authorId="0">
      <text>
        <r>
          <rPr>
            <b/>
            <sz val="9"/>
            <color indexed="81"/>
            <rFont val="Tahoma"/>
            <family val="2"/>
          </rPr>
          <t>David Connolly:</t>
        </r>
        <r>
          <rPr>
            <sz val="9"/>
            <color indexed="81"/>
            <rFont val="Tahoma"/>
            <family val="2"/>
          </rPr>
          <t xml:space="preserve">
Just used to get the cumulative started</t>
        </r>
      </text>
    </comment>
    <comment ref="K29" authorId="0">
      <text>
        <r>
          <rPr>
            <b/>
            <sz val="9"/>
            <color indexed="81"/>
            <rFont val="Tahoma"/>
            <family val="2"/>
          </rPr>
          <t>David Connolly:</t>
        </r>
        <r>
          <rPr>
            <sz val="9"/>
            <color indexed="81"/>
            <rFont val="Tahoma"/>
            <family val="2"/>
          </rPr>
          <t xml:space="preserve">
Just used to get the cumulative started</t>
        </r>
      </text>
    </comment>
    <comment ref="K30" authorId="0">
      <text>
        <r>
          <rPr>
            <b/>
            <sz val="9"/>
            <color indexed="81"/>
            <rFont val="Tahoma"/>
            <family val="2"/>
          </rPr>
          <t>David Connolly:</t>
        </r>
        <r>
          <rPr>
            <sz val="9"/>
            <color indexed="81"/>
            <rFont val="Tahoma"/>
            <family val="2"/>
          </rPr>
          <t xml:space="preserve">
Just used to get the cumulative started</t>
        </r>
      </text>
    </comment>
    <comment ref="R32" authorId="0">
      <text>
        <r>
          <rPr>
            <b/>
            <sz val="9"/>
            <color indexed="81"/>
            <rFont val="Tahoma"/>
            <family val="2"/>
          </rPr>
          <t>David Connolly:</t>
        </r>
        <r>
          <rPr>
            <sz val="9"/>
            <color indexed="81"/>
            <rFont val="Tahoma"/>
            <family val="2"/>
          </rPr>
          <t xml:space="preserve">
Assume the average taxi owner would have upgraded in 2025 under BaU
</t>
        </r>
      </text>
    </comment>
    <comment ref="K45" authorId="0">
      <text>
        <r>
          <rPr>
            <b/>
            <sz val="9"/>
            <color indexed="81"/>
            <rFont val="Tahoma"/>
            <family val="2"/>
          </rPr>
          <t>David Connolly:</t>
        </r>
        <r>
          <rPr>
            <sz val="9"/>
            <color indexed="81"/>
            <rFont val="Tahoma"/>
            <family val="2"/>
          </rPr>
          <t xml:space="preserve">
Just used to get the cumulative started</t>
        </r>
      </text>
    </comment>
    <comment ref="K46" authorId="0">
      <text>
        <r>
          <rPr>
            <b/>
            <sz val="9"/>
            <color indexed="81"/>
            <rFont val="Tahoma"/>
            <family val="2"/>
          </rPr>
          <t>David Connolly:</t>
        </r>
        <r>
          <rPr>
            <sz val="9"/>
            <color indexed="81"/>
            <rFont val="Tahoma"/>
            <family val="2"/>
          </rPr>
          <t xml:space="preserve">
Just used to get the cumulative started</t>
        </r>
      </text>
    </comment>
    <comment ref="K57" authorId="0">
      <text>
        <r>
          <rPr>
            <b/>
            <sz val="9"/>
            <color indexed="81"/>
            <rFont val="Tahoma"/>
            <family val="2"/>
          </rPr>
          <t>David Connolly:</t>
        </r>
        <r>
          <rPr>
            <sz val="9"/>
            <color indexed="81"/>
            <rFont val="Tahoma"/>
            <family val="2"/>
          </rPr>
          <t xml:space="preserve">
Just used to get the cumulative started</t>
        </r>
      </text>
    </comment>
    <comment ref="K58" authorId="0">
      <text>
        <r>
          <rPr>
            <b/>
            <sz val="9"/>
            <color indexed="81"/>
            <rFont val="Tahoma"/>
            <family val="2"/>
          </rPr>
          <t>David Connolly:</t>
        </r>
        <r>
          <rPr>
            <sz val="9"/>
            <color indexed="81"/>
            <rFont val="Tahoma"/>
            <family val="2"/>
          </rPr>
          <t xml:space="preserve">
Just used to get the cumulative started</t>
        </r>
      </text>
    </comment>
    <comment ref="D73" authorId="0">
      <text>
        <r>
          <rPr>
            <b/>
            <sz val="9"/>
            <color indexed="81"/>
            <rFont val="Tahoma"/>
            <family val="2"/>
          </rPr>
          <t>David Connolly:</t>
        </r>
        <r>
          <rPr>
            <sz val="9"/>
            <color indexed="81"/>
            <rFont val="Tahoma"/>
            <family val="2"/>
          </rPr>
          <t xml:space="preserve">
Need to decide who wants to 'own' this scheme
</t>
        </r>
      </text>
    </comment>
    <comment ref="AB78" authorId="0">
      <text>
        <r>
          <rPr>
            <b/>
            <sz val="9"/>
            <color indexed="81"/>
            <rFont val="Tahoma"/>
            <family val="2"/>
          </rPr>
          <t>David Connolly:</t>
        </r>
        <r>
          <rPr>
            <sz val="9"/>
            <color indexed="81"/>
            <rFont val="Tahoma"/>
            <family val="2"/>
          </rPr>
          <t xml:space="preserve">
Transforming Cities</t>
        </r>
      </text>
    </comment>
    <comment ref="T138" authorId="0">
      <text>
        <r>
          <rPr>
            <b/>
            <sz val="9"/>
            <color indexed="81"/>
            <rFont val="Tahoma"/>
            <family val="2"/>
          </rPr>
          <t>David Connolly:</t>
        </r>
        <r>
          <rPr>
            <sz val="9"/>
            <color indexed="81"/>
            <rFont val="Tahoma"/>
            <family val="2"/>
          </rPr>
          <t xml:space="preserve">
Includes a correction for the additional discounting of interets costs beyond 2025</t>
        </r>
      </text>
    </comment>
    <comment ref="Z138" authorId="0">
      <text>
        <r>
          <rPr>
            <b/>
            <sz val="9"/>
            <color indexed="81"/>
            <rFont val="Tahoma"/>
            <family val="2"/>
          </rPr>
          <t>David Connolly:</t>
        </r>
        <r>
          <rPr>
            <sz val="9"/>
            <color indexed="81"/>
            <rFont val="Tahoma"/>
            <family val="2"/>
          </rPr>
          <t xml:space="preserve">
</t>
        </r>
      </text>
    </comment>
    <comment ref="T139" authorId="0">
      <text>
        <r>
          <rPr>
            <b/>
            <sz val="9"/>
            <color indexed="81"/>
            <rFont val="Tahoma"/>
            <family val="2"/>
          </rPr>
          <t>David Connolly:</t>
        </r>
        <r>
          <rPr>
            <sz val="9"/>
            <color indexed="81"/>
            <rFont val="Tahoma"/>
            <family val="2"/>
          </rPr>
          <t xml:space="preserve">
Includes a correction for the additional discounting of interets costs beyond 2025</t>
        </r>
      </text>
    </comment>
    <comment ref="T140" authorId="0">
      <text>
        <r>
          <rPr>
            <b/>
            <sz val="9"/>
            <color indexed="81"/>
            <rFont val="Tahoma"/>
            <family val="2"/>
          </rPr>
          <t>David Connolly:</t>
        </r>
        <r>
          <rPr>
            <sz val="9"/>
            <color indexed="81"/>
            <rFont val="Tahoma"/>
            <family val="2"/>
          </rPr>
          <t xml:space="preserve">
Includes a correction for the additional discounting of interets costs beyond 2025</t>
        </r>
      </text>
    </comment>
    <comment ref="T141" authorId="0">
      <text>
        <r>
          <rPr>
            <b/>
            <sz val="9"/>
            <color indexed="81"/>
            <rFont val="Tahoma"/>
            <family val="2"/>
          </rPr>
          <t>David Connolly:</t>
        </r>
        <r>
          <rPr>
            <sz val="9"/>
            <color indexed="81"/>
            <rFont val="Tahoma"/>
            <family val="2"/>
          </rPr>
          <t xml:space="preserve">
Includes a correction for the additional discounting of interets costs beyond 2025</t>
        </r>
      </text>
    </comment>
    <comment ref="T142" authorId="0">
      <text>
        <r>
          <rPr>
            <b/>
            <sz val="9"/>
            <color indexed="81"/>
            <rFont val="Tahoma"/>
            <family val="2"/>
          </rPr>
          <t>David Connolly:</t>
        </r>
        <r>
          <rPr>
            <sz val="9"/>
            <color indexed="81"/>
            <rFont val="Tahoma"/>
            <family val="2"/>
          </rPr>
          <t xml:space="preserve">
Includes a correction for the additional discounting of interets costs beyond 2025</t>
        </r>
      </text>
    </comment>
    <comment ref="T143" authorId="0">
      <text>
        <r>
          <rPr>
            <b/>
            <sz val="9"/>
            <color indexed="81"/>
            <rFont val="Tahoma"/>
            <family val="2"/>
          </rPr>
          <t>David Connolly:</t>
        </r>
        <r>
          <rPr>
            <sz val="9"/>
            <color indexed="81"/>
            <rFont val="Tahoma"/>
            <family val="2"/>
          </rPr>
          <t xml:space="preserve">
Includes a correction for the additional discounting of interets costs beyond 2025</t>
        </r>
      </text>
    </comment>
    <comment ref="U143" authorId="0">
      <text>
        <r>
          <rPr>
            <b/>
            <sz val="9"/>
            <color indexed="81"/>
            <rFont val="Tahoma"/>
            <family val="2"/>
          </rPr>
          <t>David Connolly:</t>
        </r>
        <r>
          <rPr>
            <sz val="9"/>
            <color indexed="81"/>
            <rFont val="Tahoma"/>
            <family val="2"/>
          </rPr>
          <t xml:space="preserve">
Weighted average - assumes the level of contingency is equal acroiss all vehicle types)</t>
        </r>
      </text>
    </comment>
    <comment ref="T144" authorId="0">
      <text>
        <r>
          <rPr>
            <b/>
            <sz val="9"/>
            <color indexed="81"/>
            <rFont val="Tahoma"/>
            <family val="2"/>
          </rPr>
          <t>David Connolly:</t>
        </r>
        <r>
          <rPr>
            <sz val="9"/>
            <color indexed="81"/>
            <rFont val="Tahoma"/>
            <family val="2"/>
          </rPr>
          <t xml:space="preserve">
Includes a correction for the additional discounting of interets costs beyond 2025</t>
        </r>
      </text>
    </comment>
    <comment ref="U144" authorId="0">
      <text>
        <r>
          <rPr>
            <b/>
            <sz val="9"/>
            <color indexed="81"/>
            <rFont val="Tahoma"/>
            <family val="2"/>
          </rPr>
          <t>David Connolly:</t>
        </r>
        <r>
          <rPr>
            <sz val="9"/>
            <color indexed="81"/>
            <rFont val="Tahoma"/>
            <family val="2"/>
          </rPr>
          <t xml:space="preserve">
Weighted average - assumes the level of contingency is equal acroiss all vehicle types)</t>
        </r>
      </text>
    </comment>
    <comment ref="Y144" authorId="0">
      <text>
        <r>
          <rPr>
            <b/>
            <sz val="9"/>
            <color indexed="81"/>
            <rFont val="Tahoma"/>
            <family val="2"/>
          </rPr>
          <t>David Connolly:</t>
        </r>
        <r>
          <rPr>
            <sz val="9"/>
            <color indexed="81"/>
            <rFont val="Tahoma"/>
            <family val="2"/>
          </rPr>
          <t xml:space="preserve">
Split of contingency based on split of the interest</t>
        </r>
      </text>
    </comment>
  </commentList>
</comments>
</file>

<file path=xl/comments8.xml><?xml version="1.0" encoding="utf-8"?>
<comments xmlns="http://schemas.openxmlformats.org/spreadsheetml/2006/main">
  <authors>
    <author>David Connolly</author>
  </authors>
  <commentList>
    <comment ref="J61" authorId="0">
      <text>
        <r>
          <rPr>
            <b/>
            <sz val="9"/>
            <color indexed="81"/>
            <rFont val="Tahoma"/>
            <family val="2"/>
          </rPr>
          <t>David Connolly:</t>
        </r>
        <r>
          <rPr>
            <sz val="9"/>
            <color indexed="81"/>
            <rFont val="Tahoma"/>
            <family val="2"/>
          </rPr>
          <t xml:space="preserve">
Bug fix here 4/3/2019</t>
        </r>
      </text>
    </comment>
  </commentList>
</comments>
</file>

<file path=xl/sharedStrings.xml><?xml version="1.0" encoding="utf-8"?>
<sst xmlns="http://schemas.openxmlformats.org/spreadsheetml/2006/main" count="2107" uniqueCount="897">
  <si>
    <t>CAZ</t>
  </si>
  <si>
    <t>Signing</t>
  </si>
  <si>
    <t>Decomissioning</t>
  </si>
  <si>
    <t>Buses</t>
  </si>
  <si>
    <t>Taxis</t>
  </si>
  <si>
    <t>Retrofitting SCC Black cabs to LPG</t>
  </si>
  <si>
    <t>New ULEV black cabs</t>
  </si>
  <si>
    <t>Upgrading the HGV Fleet (to EURO 6)</t>
  </si>
  <si>
    <t>Upgrading the LGV Fleet (to EURO 6 or ULEV)</t>
  </si>
  <si>
    <t>50mph on Parkway</t>
  </si>
  <si>
    <t>Signal timings on Derek Dooley Way</t>
  </si>
  <si>
    <t>Signal timings on Fitzwilliam Road</t>
  </si>
  <si>
    <t>HGV Northbound on Wortley Road</t>
  </si>
  <si>
    <t>Parking</t>
  </si>
  <si>
    <t>Implement a revised parking policy in SCC</t>
  </si>
  <si>
    <t>Maintain existing ANPR cameras</t>
  </si>
  <si>
    <t>Campaign Awareness Research</t>
  </si>
  <si>
    <t>Behavioural Change Monitoring/Evaluation</t>
  </si>
  <si>
    <t>Clean Air Fund</t>
  </si>
  <si>
    <t>Implementation Fund</t>
  </si>
  <si>
    <t>Council Funded</t>
  </si>
  <si>
    <t>Private Sector Funded</t>
  </si>
  <si>
    <t>General Public Funded</t>
  </si>
  <si>
    <t>Early Measures Fund</t>
  </si>
  <si>
    <t>OLEV Funding</t>
  </si>
  <si>
    <t>Junction improvements and bus priority to support bus diversion from Rawmarsh Hill</t>
  </si>
  <si>
    <t>LGVs</t>
  </si>
  <si>
    <t>HGVs</t>
  </si>
  <si>
    <t>Roads</t>
  </si>
  <si>
    <t>ULEV</t>
  </si>
  <si>
    <t>H&amp;M</t>
  </si>
  <si>
    <t>M&amp;E</t>
  </si>
  <si>
    <t>Monitoring &amp; Evaluation</t>
  </si>
  <si>
    <t>Component</t>
  </si>
  <si>
    <t>Parkgate Link Road (Not included in Preferred Option)</t>
  </si>
  <si>
    <t>Total Cost</t>
  </si>
  <si>
    <t>Local Authority</t>
  </si>
  <si>
    <t>SCC</t>
  </si>
  <si>
    <t>RMBC</t>
  </si>
  <si>
    <t>New ULEV car-based taxis</t>
  </si>
  <si>
    <t>Implementing changes to taxi policy</t>
  </si>
  <si>
    <t>Combined</t>
  </si>
  <si>
    <t>Strengthening the AQ Monitoring/Modelling Teams</t>
  </si>
  <si>
    <t>Regular analysis of AQ data</t>
  </si>
  <si>
    <t>Uplift for rat-runs and temporary locations</t>
  </si>
  <si>
    <t>Number of cameras per location</t>
  </si>
  <si>
    <t>Fixed Price of Installation per Location</t>
  </si>
  <si>
    <t>Total Installation Price per Location</t>
  </si>
  <si>
    <t>Annual Maintenance Cost per Location</t>
  </si>
  <si>
    <t>Price of a Camera</t>
  </si>
  <si>
    <t>Cost of Decommissioning Cameras per Location</t>
  </si>
  <si>
    <t>Total Maintenance Cost of Cameras (pa)</t>
  </si>
  <si>
    <t>Split of Costs per Year</t>
  </si>
  <si>
    <t>Camera Installation</t>
  </si>
  <si>
    <t>Camera Maintenance</t>
  </si>
  <si>
    <t>Total Cost of CAZ Signing</t>
  </si>
  <si>
    <t>CAZ Back Office Set-up</t>
  </si>
  <si>
    <t>CAZ Back Office Running Costs (pa)</t>
  </si>
  <si>
    <t>Back office Set-up</t>
  </si>
  <si>
    <t>Back office Running Costs</t>
  </si>
  <si>
    <t>Number of buses being upgraded in Sheffield</t>
  </si>
  <si>
    <t>Average cost of upgrading a bus</t>
  </si>
  <si>
    <t>Number of buses being upgraded in Rotherham</t>
  </si>
  <si>
    <t>Total number of of Black Cabs in SCC</t>
  </si>
  <si>
    <t>Cost of upgrading to new ULEV car-based taxis</t>
  </si>
  <si>
    <t>Upgrading car-based taxis in SCC</t>
  </si>
  <si>
    <t>Upgrading car-based taxis in RMBC</t>
  </si>
  <si>
    <t>Implementing changes to taxi policy (per LA)</t>
  </si>
  <si>
    <t>Cost of upgrading a non-compliant LGV</t>
  </si>
  <si>
    <t>M&amp;E_Maintain existing ANPR cameras_SCC</t>
  </si>
  <si>
    <t>M&amp;E_Regular analysis of AQ data_SCC</t>
  </si>
  <si>
    <t>M&amp;E_Regular analysis of AQ data_RMBC</t>
  </si>
  <si>
    <t>M&amp;E_Campaign Awareness Research_Combined</t>
  </si>
  <si>
    <t>M&amp;E_Behavioural Change Monitoring/Evaluation_Combined</t>
  </si>
  <si>
    <t>per annum</t>
  </si>
  <si>
    <t>per quarter</t>
  </si>
  <si>
    <t>Rule of a Half applied to price differential</t>
  </si>
  <si>
    <t>Proportion of Artic Costs to include</t>
  </si>
  <si>
    <t>Cost of upgrading a non-compliant Rigid HGV</t>
  </si>
  <si>
    <t>Cost of upgrading a non-compliant Artic HGV</t>
  </si>
  <si>
    <t>Bus operator costs associated with rerouting buses from Rawmarsh Hill (excluding junction upgrades etc)</t>
  </si>
  <si>
    <t>Total number of cameras</t>
  </si>
  <si>
    <t xml:space="preserve">Total Cost of Installing Cameras </t>
  </si>
  <si>
    <t>Residual Value of the cameras</t>
  </si>
  <si>
    <t>Number of camera locations needed to cover 95% of traffic movements</t>
  </si>
  <si>
    <t>Description</t>
  </si>
  <si>
    <t>Number of non-compliant LGVs that need to upgrade</t>
  </si>
  <si>
    <t>Rule of a Half applied to difference in value (with values from IW 21/11/18)</t>
  </si>
  <si>
    <t>Cordon 1</t>
  </si>
  <si>
    <t>Cordon 2</t>
  </si>
  <si>
    <t>Cordon 3</t>
  </si>
  <si>
    <t>Total number of Black Cabs in SCC</t>
  </si>
  <si>
    <t>Include Parkgate Link Road</t>
  </si>
  <si>
    <t>Electric Taxi Charging Infrastructure (OLEV Funded)</t>
  </si>
  <si>
    <t>Cordon 1_CAZ D</t>
  </si>
  <si>
    <t>Cordon 2_CAZ D</t>
  </si>
  <si>
    <t>Cordon 3_CAZ D</t>
  </si>
  <si>
    <t>Cordon 3_CAZ C</t>
  </si>
  <si>
    <t>Revised Parking Policy in SCC</t>
  </si>
  <si>
    <t>Include a H&amp;M Campaign to encourage big fleets to upgrade</t>
  </si>
  <si>
    <t>M&amp;E_Regular analysis of ANPR data - SCC</t>
  </si>
  <si>
    <t>M&amp;E_Regular analysis of ANPR data - RMBC</t>
  </si>
  <si>
    <t>Cost of Retrofitting SCC Black cabs to LPG</t>
  </si>
  <si>
    <t>Private Cars</t>
  </si>
  <si>
    <t>Upgrading fleet</t>
  </si>
  <si>
    <t>Cost of upgrading a car</t>
  </si>
  <si>
    <t>Total cost of upgrading the car fleet</t>
  </si>
  <si>
    <t xml:space="preserve"> SCC share of upgraded cars</t>
  </si>
  <si>
    <t>SCC share of upgrading cars</t>
  </si>
  <si>
    <t>RMBC Share of upgrading cars</t>
  </si>
  <si>
    <t xml:space="preserve">% of upgrading cars from external </t>
  </si>
  <si>
    <t>RMBC share of upgraded cars</t>
  </si>
  <si>
    <t>External share of upgraded cars</t>
  </si>
  <si>
    <t>Number of cars being upgraded</t>
  </si>
  <si>
    <t>External</t>
  </si>
  <si>
    <t>Number of buses being upgraded in SCC</t>
  </si>
  <si>
    <t>Number of buses being upgraded in RMBC</t>
  </si>
  <si>
    <t>% of fleet being upgraded</t>
  </si>
  <si>
    <t>ULEV Infrastructure</t>
  </si>
  <si>
    <t>Cars</t>
  </si>
  <si>
    <t>Jan-Jun</t>
  </si>
  <si>
    <t>July-Dec</t>
  </si>
  <si>
    <t>Initial amount</t>
  </si>
  <si>
    <t>Average Balance</t>
  </si>
  <si>
    <t>Amount paid each 6 months</t>
  </si>
  <si>
    <t>Interest</t>
  </si>
  <si>
    <t>Proportion who use an interest free loan</t>
  </si>
  <si>
    <t>Total number now capped at the top 3 frequency bands</t>
  </si>
  <si>
    <t>Total Cost of LGV Upgrades</t>
  </si>
  <si>
    <t>Amount of loan</t>
  </si>
  <si>
    <t>x2 because it is for the full cost of the upgrade, not the Rule of a half perceived cost</t>
  </si>
  <si>
    <t>Loans for private cars</t>
  </si>
  <si>
    <t>Total Private Car</t>
  </si>
  <si>
    <t>Total loan for taxis</t>
  </si>
  <si>
    <t>Loans for taxis</t>
  </si>
  <si>
    <t>Loans for LGVs</t>
  </si>
  <si>
    <t>Loans for HGVs</t>
  </si>
  <si>
    <t>Interest on the loans - car</t>
  </si>
  <si>
    <t>Interest on the loans - taxi</t>
  </si>
  <si>
    <t>Interest on the loans - LGV</t>
  </si>
  <si>
    <t>Interest on the loans - HGV</t>
  </si>
  <si>
    <t>Electric Taxi Charging Infrastructure in SCC (OLEV Funded 2019)</t>
  </si>
  <si>
    <t>Public EV Charging Infrastucture - SCC EMF</t>
  </si>
  <si>
    <t>Public EV Charging Infrastucture - SCC New</t>
  </si>
  <si>
    <t>Public EV Charging Infrastucture - RMBC New</t>
  </si>
  <si>
    <t>Public EV Charging Infrastucture - EMF</t>
  </si>
  <si>
    <t>Public EV Charging Infrastucture - New</t>
  </si>
  <si>
    <t>Public EV Charging Infrastucture - new</t>
  </si>
  <si>
    <t>Actual</t>
  </si>
  <si>
    <t>tbc</t>
  </si>
  <si>
    <t>Electric taxis for SCC (EMF)</t>
  </si>
  <si>
    <t>Signal timings SCC EMF</t>
  </si>
  <si>
    <t>SCC Hearts &amp; Minds Comms - EMF - RMBC</t>
  </si>
  <si>
    <t>SCC Hearts &amp; Minds Comms - EMF  - SCC</t>
  </si>
  <si>
    <t>M&amp;E EMF - SCC</t>
  </si>
  <si>
    <t>M&amp;E EMF - RMBC</t>
  </si>
  <si>
    <t>M&amp;E - EMF</t>
  </si>
  <si>
    <t>Grant Management - EMF</t>
  </si>
  <si>
    <t>Category/Mode</t>
  </si>
  <si>
    <t>Email from MR (inc 44% OB)</t>
  </si>
  <si>
    <t>Annual Maintenance Cost per ANPR Location</t>
  </si>
  <si>
    <t>Include public chargers in SCC?</t>
  </si>
  <si>
    <t>Include public chargers in RMBC?</t>
  </si>
  <si>
    <t>Include goods vehicle chargers?</t>
  </si>
  <si>
    <t>Email from Craig Harper to JM 27/11/18</t>
  </si>
  <si>
    <t>Average value of non-compliant and compliant vehcles</t>
  </si>
  <si>
    <t>Non-Compliant</t>
  </si>
  <si>
    <t>Compliant</t>
  </si>
  <si>
    <t>Price Differential</t>
  </si>
  <si>
    <t>Rigids</t>
  </si>
  <si>
    <t>Artics</t>
  </si>
  <si>
    <t>'Rule of a Half' Cost</t>
  </si>
  <si>
    <t>Black Cabs (Existing to electric)</t>
  </si>
  <si>
    <t>Cost of upgrading to compliant</t>
  </si>
  <si>
    <t>Car-based Taxis (Non-compliant to ULEV)</t>
  </si>
  <si>
    <t>Cost of upgrading to a new electric black cab</t>
  </si>
  <si>
    <t>Stagecoach spreadsheet in email from TFS  27/11/18</t>
  </si>
  <si>
    <t>Average cost</t>
  </si>
  <si>
    <t>Total</t>
  </si>
  <si>
    <t xml:space="preserve">New buses in Sheffield - Stagecoach </t>
  </si>
  <si>
    <t>Emails from TFS  27/11/18</t>
  </si>
  <si>
    <t>Retro-fit existing fleet</t>
  </si>
  <si>
    <t>Other bus operator costs (inc fuel-related)- RMBC</t>
  </si>
  <si>
    <t>Other bus operator costs in Rotherham</t>
  </si>
  <si>
    <t>Number of RMBC PHVs (in list of number plates provided by SCC/RMBC)</t>
  </si>
  <si>
    <t>Rule of a Half applied to the price differential</t>
  </si>
  <si>
    <t>2025 &amp; beyond</t>
  </si>
  <si>
    <t>Factor to reduce current value of black cabs</t>
  </si>
  <si>
    <t>End of life!</t>
  </si>
  <si>
    <t>Car-based Taxis (Non-compliant to Euro 6)</t>
  </si>
  <si>
    <t>Black Cabs (Existing to new petrol)</t>
  </si>
  <si>
    <t xml:space="preserve">BaU cost of upgrading to new petrol </t>
  </si>
  <si>
    <t>Cost of upgrading in BaU</t>
  </si>
  <si>
    <t>Heavy Goods Vehicle Charging Infrastructure (not included here?)</t>
  </si>
  <si>
    <t>ULEV Infrastructure for LGVs</t>
  </si>
  <si>
    <t>EV Infrastructure for LGVs included below</t>
  </si>
  <si>
    <t>Note that these costs can be 'turned off' in the scenario definition sheets</t>
  </si>
  <si>
    <t>Assume that all LGV owners upgrade to essentially the same vehiclce, just X years earlier</t>
  </si>
  <si>
    <t>Upgrading car-based taxis in SCC - BaU</t>
  </si>
  <si>
    <t>Number of vehicle upgraded</t>
  </si>
  <si>
    <t>Cost of BaU upgrades of car-based taxis</t>
  </si>
  <si>
    <t>Upgrading car-based taxis in RMBC - BaU</t>
  </si>
  <si>
    <t>BaU Upgrades</t>
  </si>
  <si>
    <t>pa</t>
  </si>
  <si>
    <t>Bus operating costs</t>
  </si>
  <si>
    <t>Taxi Operating Costs</t>
  </si>
  <si>
    <t>Assumes the retro-fit does not change the BaU upgrading</t>
  </si>
  <si>
    <t>Black cab operating cost savings (Diesel-&gt;Electric) (pa)</t>
  </si>
  <si>
    <t>Reduction factor for 'EV hassle'</t>
  </si>
  <si>
    <t>Total number of car-based taxis in SCC</t>
  </si>
  <si>
    <t>Total number of car-based taxis in RMBC</t>
  </si>
  <si>
    <t>Operating Cost Savings</t>
  </si>
  <si>
    <t>Operating costs</t>
  </si>
  <si>
    <t>Cost of upgrading in BaU - rigid</t>
  </si>
  <si>
    <t>Cost of upgrading in BaU - artic</t>
  </si>
  <si>
    <t>LGV operating cost saving per annum</t>
  </si>
  <si>
    <t>Proportion to include</t>
  </si>
  <si>
    <t>Cost of upgrading per vehicle</t>
  </si>
  <si>
    <t>Number to be upgraded</t>
  </si>
  <si>
    <t>Rigid HGVs</t>
  </si>
  <si>
    <t>Articulated HGvs</t>
  </si>
  <si>
    <t>Operating Costs</t>
  </si>
  <si>
    <t>Rigid  operating cost saving per annum</t>
  </si>
  <si>
    <t>Artic operating cost saving per annum</t>
  </si>
  <si>
    <t>Incentive package for SCC Black Cabs</t>
  </si>
  <si>
    <t>Per Upgrading Vehicle</t>
  </si>
  <si>
    <t>Number of vehicles</t>
  </si>
  <si>
    <t>Incentive package for RMBC Car-based</t>
  </si>
  <si>
    <t>Providing incentives to taxis</t>
  </si>
  <si>
    <t>Managing the Various Incentive Programs</t>
  </si>
  <si>
    <t>Managing the Incentive Program (% of total value)</t>
  </si>
  <si>
    <t>Managing the Various Incentive Programs - SCC</t>
  </si>
  <si>
    <t>Managing the Various Incentive Programs - RMBC</t>
  </si>
  <si>
    <t>Number of Black cabs that remain non-ULEV</t>
  </si>
  <si>
    <t>Daily Charges</t>
  </si>
  <si>
    <t>Car-based Taxis</t>
  </si>
  <si>
    <t>Black Cabs</t>
  </si>
  <si>
    <t>Charges paid by non-compliant taxis</t>
  </si>
  <si>
    <t>Number of car-based taxis that remain non-ULEV  - SCC</t>
  </si>
  <si>
    <t>Number of car-based taxis that remain non-ULEV  - RMBC</t>
  </si>
  <si>
    <t>Total number of non-ULEV car-based taxis in SCC</t>
  </si>
  <si>
    <t>Number of days that a taxi operates on CAZ - SCC</t>
  </si>
  <si>
    <t>Number of days that a taxi operates on CAZ - RMBC</t>
  </si>
  <si>
    <t>Visits per year</t>
  </si>
  <si>
    <t>Daily Charge</t>
  </si>
  <si>
    <t>2021 BaU</t>
  </si>
  <si>
    <t>n/a</t>
  </si>
  <si>
    <t>CAZ Charges Paid</t>
  </si>
  <si>
    <t>CAZ Charges paid by LGVs - per day</t>
  </si>
  <si>
    <t>CAZ Charges paid by LGVs - per annum</t>
  </si>
  <si>
    <t>Charges Paid</t>
  </si>
  <si>
    <t>CAZ Charges paid by HGVs - per day</t>
  </si>
  <si>
    <t>CAZ Charges paid by HGVs - per annum</t>
  </si>
  <si>
    <t>Incentive package for SCC Car-based</t>
  </si>
  <si>
    <t>Mobile Camera</t>
  </si>
  <si>
    <t>Capital Cost of mobile 'camera van'</t>
  </si>
  <si>
    <t>pa - tbc</t>
  </si>
  <si>
    <t>Mobile Cameras - capital</t>
  </si>
  <si>
    <t>Mobile Cameras - operation</t>
  </si>
  <si>
    <t>Operating Cost of each mobile 'camera van'</t>
  </si>
  <si>
    <t>Operating 'Camera Vans'</t>
  </si>
  <si>
    <t>Decomissioning - camera &amp; signing</t>
  </si>
  <si>
    <t>Total Decommissioning Cost (Cameras &amp; Signing)</t>
  </si>
  <si>
    <t>Visits per year (based on which cordon is being used in this scenario)</t>
  </si>
  <si>
    <t>per vehicle</t>
  </si>
  <si>
    <t>Low Emission Taxi Guide - October 2018</t>
  </si>
  <si>
    <t>Average of Nissan Leaf &amp; Tesla S75D vs a Skoda Octavia - Low Emission Taxi Guide - October 2018</t>
  </si>
  <si>
    <t>ie upgrading to non-ULEV in the Ref Case scenario</t>
  </si>
  <si>
    <t xml:space="preserve">Euro 4 to Euro 6 will be a saving, but Euro 5 to Euro 6 probably won't </t>
  </si>
  <si>
    <t>Average mpg - current fleet</t>
  </si>
  <si>
    <t>Average mpg - Euro 6</t>
  </si>
  <si>
    <t>Average miles per year</t>
  </si>
  <si>
    <t>Price of a gallon of diesel</t>
  </si>
  <si>
    <t>Fuel costs per year - current</t>
  </si>
  <si>
    <t>Fuel costs per year - EURO 6</t>
  </si>
  <si>
    <t>Cap on the subsidy to TM Travel (and others)</t>
  </si>
  <si>
    <t>New buses in Sheffield - Stagecoach</t>
  </si>
  <si>
    <t>Average bus operator benefit per bus (pa) - EURO III to 2nd-hand EURO VI</t>
  </si>
  <si>
    <t>Average bus operator benefit per bus (pa) - EURO IV to EURO VI (inc retrofit)</t>
  </si>
  <si>
    <t>Retro-fitting may increase fuel consumption and op/maintenance costs, which will cancel out the improved fuel efficiency of any new buses etc</t>
  </si>
  <si>
    <t>CAZ-funding</t>
  </si>
  <si>
    <t>Operator-funded</t>
  </si>
  <si>
    <t>Split of Smaller Operator Bus Replacement Costs</t>
  </si>
  <si>
    <t>New buses in Sheffield - Smaller Operators</t>
  </si>
  <si>
    <t>Smaller operator buses affected by the Central Sheffield CAZ</t>
  </si>
  <si>
    <t>Emails from TFS 30/11/18 and 3/12/18 (or Rule of a Half applied to £60K)</t>
  </si>
  <si>
    <t>Assume the cost of the retro-fit is used as the cap on the subsidy</t>
  </si>
  <si>
    <t>Amount of loan needed for smaller operator bus purchases</t>
  </si>
  <si>
    <t>Loans for buses</t>
  </si>
  <si>
    <t>Interest on the loans - buses</t>
  </si>
  <si>
    <t>Perceived cost of upgrading to new ULEV car-based taxis</t>
  </si>
  <si>
    <t>Perceived cost of upgrading in the BaU</t>
  </si>
  <si>
    <t>Proportion who get offered and use an interest free loan</t>
  </si>
  <si>
    <t>Worst Case</t>
  </si>
  <si>
    <t>Worst Case Loan for Taxis</t>
  </si>
  <si>
    <t>Contingency for Interest Free Loans of Taxis</t>
  </si>
  <si>
    <t>Contingency</t>
  </si>
  <si>
    <t>Operating cost saving</t>
  </si>
  <si>
    <t>Assumption</t>
  </si>
  <si>
    <t>pa (Assumption)</t>
  </si>
  <si>
    <t>Costs and perceived costs of upgrading the various different fleets</t>
  </si>
  <si>
    <t>Assumptions</t>
  </si>
  <si>
    <t>(EV Charging infrastructure for LGVs is included in the ULEV section below)</t>
  </si>
  <si>
    <t>Assumption/tbc</t>
  </si>
  <si>
    <t>Meeting with BB 29/11/2018</t>
  </si>
  <si>
    <t>Email from EO - 30/11/18</t>
  </si>
  <si>
    <t>OLEV Bid (Email from OO 30/11/2018)</t>
  </si>
  <si>
    <t>Category_LA</t>
  </si>
  <si>
    <t>Category/Mode_Local Authority</t>
  </si>
  <si>
    <t>CAZ_SCC</t>
  </si>
  <si>
    <t>Private Cars_SCC</t>
  </si>
  <si>
    <t>Private Cars_RMBC</t>
  </si>
  <si>
    <t>Private Cars_External</t>
  </si>
  <si>
    <t>Taxis_SCC</t>
  </si>
  <si>
    <t>Taxis_RMBC</t>
  </si>
  <si>
    <t>Buses_SCC</t>
  </si>
  <si>
    <t>Buses_RMBC</t>
  </si>
  <si>
    <t>Roads_SCC</t>
  </si>
  <si>
    <t>Roads_Combined</t>
  </si>
  <si>
    <t>Roads_RMBC</t>
  </si>
  <si>
    <t>ULEV_SCC</t>
  </si>
  <si>
    <t>ULEV_RMBC</t>
  </si>
  <si>
    <t>Parking_SCC</t>
  </si>
  <si>
    <t>M&amp;E_SCC</t>
  </si>
  <si>
    <t>M&amp;E_RMBC</t>
  </si>
  <si>
    <t>M&amp;E_Combined</t>
  </si>
  <si>
    <t>Total Cost (undiscounted)</t>
  </si>
  <si>
    <t>Total Cost (Discounted)</t>
  </si>
  <si>
    <t>Units</t>
  </si>
  <si>
    <t>Undiscounted</t>
  </si>
  <si>
    <t>Discounted</t>
  </si>
  <si>
    <t>Units for CBA tables</t>
  </si>
  <si>
    <t>Annual operating cost savings - SCC</t>
  </si>
  <si>
    <t>Annual operating cost savings - RMBC</t>
  </si>
  <si>
    <t>Incentives</t>
  </si>
  <si>
    <t>Incentive Package for SCC LGVs - average per upgraded vehicle</t>
  </si>
  <si>
    <t>% of LGVs which need the incentive</t>
  </si>
  <si>
    <t>% which need the incentive</t>
  </si>
  <si>
    <t>Cost of decommissioning signing</t>
  </si>
  <si>
    <t>Cost of Installation per Location</t>
  </si>
  <si>
    <t>Finance &amp; Management</t>
  </si>
  <si>
    <t>Finance &amp; Management_SCC</t>
  </si>
  <si>
    <t>Finance &amp; Management_RMBC</t>
  </si>
  <si>
    <t>Finance &amp; Management_Combined</t>
  </si>
  <si>
    <t>Programme Management &amp; Commercial Services</t>
  </si>
  <si>
    <t>Programme Management &amp; Commercial Services - SCC</t>
  </si>
  <si>
    <t>Programme Management &amp; Commercial Services - RMBC</t>
  </si>
  <si>
    <t>Paying the charge</t>
  </si>
  <si>
    <t>Charges paid - SCC cars</t>
  </si>
  <si>
    <t>Charges paid by non-compliant cars</t>
  </si>
  <si>
    <t>Charges paid - RMBC cars</t>
  </si>
  <si>
    <t>Charges paid - external cars</t>
  </si>
  <si>
    <t>Revenue</t>
  </si>
  <si>
    <t>Charges paid by cars</t>
  </si>
  <si>
    <t>Charges paid by LGVs</t>
  </si>
  <si>
    <t>Charges paid by HGVs</t>
  </si>
  <si>
    <t>Revenue_Combined</t>
  </si>
  <si>
    <t>Costs</t>
  </si>
  <si>
    <t>Charges paid by taxis</t>
  </si>
  <si>
    <t>General Assumptions</t>
  </si>
  <si>
    <t>Standard Discount factor</t>
  </si>
  <si>
    <t>Car-based taxi operating cost savings (pa)</t>
  </si>
  <si>
    <t>Follow-up charging charging infrastructure for taxis</t>
  </si>
  <si>
    <t>Include more taxi chargers in SCC?</t>
  </si>
  <si>
    <t>Include LGV chargers?</t>
  </si>
  <si>
    <t>Include Parkgate Link Road?</t>
  </si>
  <si>
    <t xml:space="preserve"> SCC Cars</t>
  </si>
  <si>
    <t>RMBC Cars</t>
  </si>
  <si>
    <t>External Cars</t>
  </si>
  <si>
    <t>Car-based taxis RMBC</t>
  </si>
  <si>
    <t>Black cabs to LPG - SCC</t>
  </si>
  <si>
    <t>Black cabs to electric - SCC</t>
  </si>
  <si>
    <t>Car-based taxis SCC</t>
  </si>
  <si>
    <t>LGVS</t>
  </si>
  <si>
    <t>HGV-Rigid</t>
  </si>
  <si>
    <t>HGV-Artic</t>
  </si>
  <si>
    <t>ULEV black cabs - SCC</t>
  </si>
  <si>
    <t>Spend/Fleet Upgrade Profiles</t>
  </si>
  <si>
    <t>Private cars upgrading</t>
  </si>
  <si>
    <t>Taxis upgrading</t>
  </si>
  <si>
    <t>Buses Upgrading</t>
  </si>
  <si>
    <t>Goods Vehicle Upgrading</t>
  </si>
  <si>
    <t>Split of grant management lump sum</t>
  </si>
  <si>
    <t>Adjusted Black Cab operating cost savings</t>
  </si>
  <si>
    <t>Using Reduction Factor (pa)</t>
  </si>
  <si>
    <t>Adjusted Car-based taxi operating cost savings (pa)</t>
  </si>
  <si>
    <t>Cost of new buses to small operators</t>
  </si>
  <si>
    <t>Overall cost of new bus - maximum available subsidy</t>
  </si>
  <si>
    <t>Benefits to Smaller Operators</t>
  </si>
  <si>
    <t>Emails from TFS 30/11/18 and 3/12/18 (or Rule of a Half applied to cost)</t>
  </si>
  <si>
    <t>Rigid operating cost saving per annum</t>
  </si>
  <si>
    <t>Processed Fleet Assumptions Sheet</t>
  </si>
  <si>
    <t>This sheet draws in all the Assumptions from the Fleet Assumptions Input and includes core calculations for use in the model</t>
  </si>
  <si>
    <t>This sheet collates all the assumptions that are used in the model and notes the sources of these assumptions</t>
  </si>
  <si>
    <t>Input Fleet Assumptions Sheet</t>
  </si>
  <si>
    <t>Comms/H&amp;M</t>
  </si>
  <si>
    <t>Comms/Hearts and Minds</t>
  </si>
  <si>
    <t>Comms/H&amp;M_SCC</t>
  </si>
  <si>
    <t>Comms/H&amp;M_RMBC</t>
  </si>
  <si>
    <t>Comms/H&amp;M_Combined</t>
  </si>
  <si>
    <t>Monitoring &amp; Evaluation - EMF - SCC</t>
  </si>
  <si>
    <t>Monitoring &amp; Evaluation - EMF - RMBC</t>
  </si>
  <si>
    <t>Email from AC 7/12/18</t>
  </si>
  <si>
    <t>Include 2nd set of consultation on the FBC?</t>
  </si>
  <si>
    <t>Stakeholder Engagement &amp; Public Consultation - OBC - SCC</t>
  </si>
  <si>
    <t>Stakeholder Engagement &amp; Public Consultation - OBC -RMBC</t>
  </si>
  <si>
    <t>Stakeholder Engagement &amp; Public Consultation - FBC -SCC</t>
  </si>
  <si>
    <t>Stakeholder Engagement &amp; Public Consultation - FBC -RMBC</t>
  </si>
  <si>
    <t>General Comms - OBC</t>
  </si>
  <si>
    <t>General Comms - FBC (per annum)</t>
  </si>
  <si>
    <t>EMF</t>
  </si>
  <si>
    <t>H&amp;M Campaigns - 2020</t>
  </si>
  <si>
    <t xml:space="preserve">H&amp;M Campaigns - 2020 </t>
  </si>
  <si>
    <t>Stakeholder Engagement &amp; Public Consultation - OBC</t>
  </si>
  <si>
    <t>Stakeholder Engagement &amp; Public Consultation - FBC</t>
  </si>
  <si>
    <t>H&amp;M Campaigns -2021</t>
  </si>
  <si>
    <t>pa - Assumption</t>
  </si>
  <si>
    <t>Targetting goods vehicle owners (to encourage upgrading) - pa</t>
  </si>
  <si>
    <t>A key one!</t>
  </si>
  <si>
    <t>DK to confirm</t>
  </si>
  <si>
    <t>As discussed 11/12/18</t>
  </si>
  <si>
    <t>Hearts &amp; Minds/Ecostars on big HGV fleets</t>
  </si>
  <si>
    <t>Targetting local goods vehicle owners (to encourage upgrading)</t>
  </si>
  <si>
    <t>H&amp;M /Ecostars campaigns to persuade other big fleets to upgrade - per annum</t>
  </si>
  <si>
    <t>H&amp;M Campaigns - 2021  -  RMBC residents</t>
  </si>
  <si>
    <t>H&amp;M Campaigns - 2021  -  SCC residents</t>
  </si>
  <si>
    <t>M&amp;E_AQ Monitoring/Modelling Teams_SCC</t>
  </si>
  <si>
    <t>M&amp;E_AQ Monitoring/Modelling Teams_RMBC</t>
  </si>
  <si>
    <t>Input T Model Inputs Sheet</t>
  </si>
  <si>
    <t>Upgrades</t>
  </si>
  <si>
    <t>Type</t>
  </si>
  <si>
    <t>Artic HGVs</t>
  </si>
  <si>
    <t>Upgrade Type</t>
  </si>
  <si>
    <t>Charging Revenue 2021</t>
  </si>
  <si>
    <t>Charging Revenue 2024</t>
  </si>
  <si>
    <t>Input Cordon Assumptions Sheet</t>
  </si>
  <si>
    <t>This Sheet collates all the assumptions based on the various cordons used in the model and adds some simple calculations to feed into the model</t>
  </si>
  <si>
    <t>Background information</t>
  </si>
  <si>
    <t>Camera description</t>
  </si>
  <si>
    <t>No of camera locations needed to cover 95% of traffic movements</t>
  </si>
  <si>
    <t>CAZ Cost</t>
  </si>
  <si>
    <t>Car Upgrades</t>
  </si>
  <si>
    <t>Taxi Operation</t>
  </si>
  <si>
    <t>Vehicle Upgrades</t>
  </si>
  <si>
    <t>Input Assumptions Sheet</t>
  </si>
  <si>
    <t>This sheet collates all the General Assumptions used in the model along with some basic calculations to give values that are then used in the model</t>
  </si>
  <si>
    <t>Years</t>
  </si>
  <si>
    <t>M&amp;E_Strengthening the AQ Monitoring/Modelling Teams_SCC</t>
  </si>
  <si>
    <t>M&amp;E_Strengthening the AQ Monitoring/Modelling Teams_RMBC</t>
  </si>
  <si>
    <t>The owners get this paid for, so don't need an interest-free loan</t>
  </si>
  <si>
    <t>Email from EO to DTC  11/12/18</t>
  </si>
  <si>
    <t>60% upgrade in CAZ 3C+, otherwise its behavioural %s (56% LPG, 28% EV, 16% pay to pollute)</t>
  </si>
  <si>
    <t>CAZ causes 95% of car-based taxis to upgrade (with another 3% through 3C+ taxi policy licence renewals)</t>
  </si>
  <si>
    <t>Guesstimates, based on JAQU car defaults and local research values for taxis</t>
  </si>
  <si>
    <t>Total Revenue</t>
  </si>
  <si>
    <t>Share of the revenue charged by the central portal</t>
  </si>
  <si>
    <t>Charging revenue used to fund the Back Office</t>
  </si>
  <si>
    <t>Revenue used to fund stuff</t>
  </si>
  <si>
    <t>Email from OO 12/12/18 (NB No 'missing' benefits, so full cost of retrofit should be used as the perceived cost) - may want to do something with the VAT - tbc</t>
  </si>
  <si>
    <t>LYF</t>
  </si>
  <si>
    <t xml:space="preserve">V12 </t>
  </si>
  <si>
    <t>Leap year adjustment added</t>
  </si>
  <si>
    <t>Assumes the charge paying proportions are the same as the upgrade proportions</t>
  </si>
  <si>
    <t>per day</t>
  </si>
  <si>
    <t>pa (Leap year adjustment applied later)</t>
  </si>
  <si>
    <t>Default Contingency Factor</t>
  </si>
  <si>
    <t>Programme Management &amp; Commercial Services - Contingency</t>
  </si>
  <si>
    <t>Aggregation Category</t>
  </si>
  <si>
    <t>CAZ-related</t>
  </si>
  <si>
    <t>Goods Vehicles</t>
  </si>
  <si>
    <t>Comms &amp; H&amp;M</t>
  </si>
  <si>
    <t>Other Costs</t>
  </si>
  <si>
    <t>Contingency_SCC</t>
  </si>
  <si>
    <t>Contingency_RMBC</t>
  </si>
  <si>
    <t>M&amp;E_Campaign Awareness Research_SCC</t>
  </si>
  <si>
    <t>M&amp;E_Behavioural Change Monitoring/Evaluation_SCC</t>
  </si>
  <si>
    <t>Optimism Bias/Contingency</t>
  </si>
  <si>
    <t>Level of Optimism Bias/Contingency</t>
  </si>
  <si>
    <t>Email from MR</t>
  </si>
  <si>
    <t>Optimism Bias/Contingency on SCC Road Schemes</t>
  </si>
  <si>
    <t>Total Contingency on SCC Road Schemes</t>
  </si>
  <si>
    <t>Total Contingency on RMBC Road Schemes</t>
  </si>
  <si>
    <t>LGVs_SCC</t>
  </si>
  <si>
    <t>Private_Sector</t>
  </si>
  <si>
    <t>Funding for the incentives to LGV Owners</t>
  </si>
  <si>
    <t>Incentives received by LGV Owners</t>
  </si>
  <si>
    <t>LGVs_Private_Sector</t>
  </si>
  <si>
    <t>HGVs_Private_Sector</t>
  </si>
  <si>
    <t>Assumptions agreed at the SG 11/12/18</t>
  </si>
  <si>
    <t>V12b</t>
  </si>
  <si>
    <t>Revised inputs from the traffic model - email from EO 14/12/18 (processed in the ANPR Analysis Spreadsheet)</t>
  </si>
  <si>
    <t>CAZ_PMP_resource Costs (via email from AC) 14/12/18 &amp; 'x1.25' assumptions for the non-PO - Contingency added later</t>
  </si>
  <si>
    <t>New program management costs (email from AC 14/12/18)</t>
  </si>
  <si>
    <t>Chris Galloway (excludes contingency, which is added later) - email exchange on 14 Dec 2018</t>
  </si>
  <si>
    <t>Email exchange 14/12/18</t>
  </si>
  <si>
    <t>Maximum proportion of these which can be retorfitted to LPG</t>
  </si>
  <si>
    <t>Cap on the %LPG proportion of black cabs</t>
  </si>
  <si>
    <t>Amount needed for taxi chargers increased, to reflect the cap on the % of black cabs than can be retro-fitetd to LPG</t>
  </si>
  <si>
    <t>Maximum proportion of these which can be retrofitted to LPG</t>
  </si>
  <si>
    <t>Contingency on CAZ signing costs</t>
  </si>
  <si>
    <t>M&amp;E_Maintain existing ANPR cameras_RMBC</t>
  </si>
  <si>
    <t>M&amp;E_Checking compliance with Rotherham schemes</t>
  </si>
  <si>
    <t xml:space="preserve">Regular analysis of ANPR data </t>
  </si>
  <si>
    <t>Regular analysis of ANPR data</t>
  </si>
  <si>
    <t>Checking compliance with Rotherham schemes</t>
  </si>
  <si>
    <t>H&amp;M Campaigns - 2019  - SCC residents</t>
  </si>
  <si>
    <t>H&amp;M Campaigns - 2019  - RMBC residents</t>
  </si>
  <si>
    <t>H&amp;M Campaigns - 2020  - RMBC residents</t>
  </si>
  <si>
    <t>H&amp;M Campaigns - 2020  - SCC residents</t>
  </si>
  <si>
    <t>6 weeks (Emails from AC 7/12/18 and LB 11/12/18 to DTC)</t>
  </si>
  <si>
    <t>12 weeks (Emails from AC 7/12/18 and LB 11/12/18 to DTC)</t>
  </si>
  <si>
    <t>H&amp;M Campaigns - 2019</t>
  </si>
  <si>
    <t>Residual value of the cameras (% of original price)</t>
  </si>
  <si>
    <t>Daily Charging Revenue - from ANPR Analysis V10 (15/12/18) - 2024</t>
  </si>
  <si>
    <t>What proportion of back office running costs are fixed</t>
  </si>
  <si>
    <t>Proportion of running costs which vary with the amount of charges being paid</t>
  </si>
  <si>
    <t>Increase in back-office running costs relative to 3C</t>
  </si>
  <si>
    <t>Assumption - tbc</t>
  </si>
  <si>
    <t>Increase in charging revenue in 2021 relative to Cordon 3C</t>
  </si>
  <si>
    <t>Assumes the back office running cost has a fixed component and a bit that varies with the amount of charging generated by the CAZ scheme</t>
  </si>
  <si>
    <t>Assume decommission costs are 20% of installation costs</t>
  </si>
  <si>
    <t>The product of the incentive and the %uptake can be adjusted to reduce the net cost to LGV owners</t>
  </si>
  <si>
    <t>Predicted cost of these loans</t>
  </si>
  <si>
    <t>capex</t>
  </si>
  <si>
    <t>opex</t>
  </si>
  <si>
    <t>Current</t>
  </si>
  <si>
    <t>Follow-up charging infrastructure for taxis</t>
  </si>
  <si>
    <t>Capex/Opex</t>
  </si>
  <si>
    <t>Charging revenue used to fund the removal of the cameras</t>
  </si>
  <si>
    <t>Allow the relevant costs to be funded from revenue?</t>
  </si>
  <si>
    <t>Set to zero if we want to keep the costs &amp; revenue separate or to 1 if you want to use as much available revenue as possible</t>
  </si>
  <si>
    <t>Available to fund other things</t>
  </si>
  <si>
    <t>Still available</t>
  </si>
  <si>
    <t>Do not include this row!</t>
  </si>
  <si>
    <t>V15</t>
  </si>
  <si>
    <t>Decomissioning cameras and back-office running costs can now be funded from the charging revenue</t>
  </si>
  <si>
    <t>Extra aggregation sheet (into Capex &amp; Opex by year), to provide inputs to the Financial Case model, added</t>
  </si>
  <si>
    <t>CAZ_SCC_capex</t>
  </si>
  <si>
    <t>CAZ_SCC_opex</t>
  </si>
  <si>
    <t>Contingency_SCC_capex</t>
  </si>
  <si>
    <t>Taxis_SCC_capex</t>
  </si>
  <si>
    <t>Taxis_RMBC_capex</t>
  </si>
  <si>
    <t>Buses_SCC_capex</t>
  </si>
  <si>
    <t>Buses_RMBC_capex</t>
  </si>
  <si>
    <t>LGVs_SCC_capex</t>
  </si>
  <si>
    <t>Roads_SCC_capex</t>
  </si>
  <si>
    <t>Roads_RMBC_capex</t>
  </si>
  <si>
    <t>Contingency_RMBC_capex</t>
  </si>
  <si>
    <t>ULEV_SCC_capex</t>
  </si>
  <si>
    <t>ULEV_RMBC_capex</t>
  </si>
  <si>
    <t>Parking_SCC_capex</t>
  </si>
  <si>
    <t>Comms/H&amp;M_SCC_capex</t>
  </si>
  <si>
    <t>Comms/H&amp;M_RMBC_capex</t>
  </si>
  <si>
    <t>M&amp;E_SCC_opex</t>
  </si>
  <si>
    <t>M&amp;E_RMBC_opex</t>
  </si>
  <si>
    <t>M&amp;E_SCC_capex</t>
  </si>
  <si>
    <t>M&amp;E_RMBC_capex</t>
  </si>
  <si>
    <t>Finance &amp; Management_SCC_opex</t>
  </si>
  <si>
    <t>Finance &amp; Management_RMBC_opex</t>
  </si>
  <si>
    <t>Contingency_SCC_opex</t>
  </si>
  <si>
    <t>Contingency_RMBC_opex</t>
  </si>
  <si>
    <t>Finance &amp; Management_SCC_capex</t>
  </si>
  <si>
    <t>Revenue_Combined_Revenue</t>
  </si>
  <si>
    <t>SCC_Capex</t>
  </si>
  <si>
    <t>SCC_Opex</t>
  </si>
  <si>
    <t>RMBC_Capex</t>
  </si>
  <si>
    <t>RMBC_Opex</t>
  </si>
  <si>
    <t>Category/Mode_Local Authority_Capex/Opex</t>
  </si>
  <si>
    <t>Use the labels below to aggregate the costs a bit</t>
  </si>
  <si>
    <t>Now Sumif to complete the aggregation</t>
  </si>
  <si>
    <t>Ignore</t>
  </si>
  <si>
    <t>Incentives received by taxi owners</t>
  </si>
  <si>
    <t>Proportion of interest charged to the IF - cars</t>
  </si>
  <si>
    <t>Proportion of interest charged to the IF - taxis</t>
  </si>
  <si>
    <t>Proportion of interest charged to the IF - buses</t>
  </si>
  <si>
    <t>Proportion of interest charged to the IF - LGVs</t>
  </si>
  <si>
    <t>Proportion of interest charged to the IF - HGVs</t>
  </si>
  <si>
    <t>Proportion of interest charged to the IF - Contingency</t>
  </si>
  <si>
    <t>Assume interest free loans offered to low income car owners</t>
  </si>
  <si>
    <t>We need the taxis to upgrade in all 4 scenarios</t>
  </si>
  <si>
    <t>Bug in FinCase Summary fixed (totals at the top of the funding columns)</t>
  </si>
  <si>
    <t>RMBC = 15% of SCC - email exchange with AC 18/12/18</t>
  </si>
  <si>
    <t>Total that we want to disaggregate by year</t>
  </si>
  <si>
    <t>RMBC Management costs now @ 15% of the SCC value (and there is a bigger uplift for Cordon 1D)</t>
  </si>
  <si>
    <t>FinCase now allows the user to disaggregate the relevant total by year</t>
  </si>
  <si>
    <t>Include op cost savings for cars/LGVs/HGVs/Buses</t>
  </si>
  <si>
    <t>Now allow the user to turn off the operating cost saving</t>
  </si>
  <si>
    <t>Assume that all HGV owners upgrade to essentially the same vehicle, just X years earlier</t>
  </si>
  <si>
    <t>No reduction - assume the price of an electric taxi fully reflects its perceived value and there is no disbenefit from moving to an electric vehicle</t>
  </si>
  <si>
    <t>Allows us to exclude ant operating cost savings for cars, LGVs &amp;HGVs</t>
  </si>
  <si>
    <t>Revised values in the fleet inputs sheet (and operating cost savings can now be turned off for cars, LGVs and HGVs)</t>
  </si>
  <si>
    <t>Email exchange 18/12/18 - assume this scheme will be wrapped up in the bigger BaU widening scheme</t>
  </si>
  <si>
    <t xml:space="preserve"> 9-year becoming average of 1-2 year-old  (from JAQU values)</t>
  </si>
  <si>
    <t xml:space="preserve"> 6-year becoming average of 1-2 year-old  (from JAQU values)</t>
  </si>
  <si>
    <t>V16</t>
  </si>
  <si>
    <t>Hassle factor reduction factor for electric taxis set to 100%</t>
  </si>
  <si>
    <t xml:space="preserve"> 9-year old becoming average of 1-3 year old</t>
  </si>
  <si>
    <t>Previous values as JAQU values don't specify values for people carriers</t>
  </si>
  <si>
    <t>Adjustment  to the values of old and new cars - values chosen to retain consistency with version used in the Financial Model</t>
  </si>
  <si>
    <t>Clean Air Zones</t>
  </si>
  <si>
    <t>Cordon</t>
  </si>
  <si>
    <t>Used for Lookup</t>
  </si>
  <si>
    <t>Cost of Mobile camera</t>
  </si>
  <si>
    <t xml:space="preserve">Total Cost of Installing Mobile Cameras </t>
  </si>
  <si>
    <t>Pa</t>
  </si>
  <si>
    <t>Total cost of decomissioning all cameras</t>
  </si>
  <si>
    <t>Total value of all cameras after decomissioning</t>
  </si>
  <si>
    <t xml:space="preserve"> </t>
  </si>
  <si>
    <t>Residual value per Camera</t>
  </si>
  <si>
    <t>Contingency cost</t>
  </si>
  <si>
    <t>Location of Upgrade</t>
  </si>
  <si>
    <t>Total Upgrade Costs</t>
  </si>
  <si>
    <t>Operating cost Saving (pa)</t>
  </si>
  <si>
    <t>Location</t>
  </si>
  <si>
    <t>Total Loan for Private Cars</t>
  </si>
  <si>
    <t>Proportion of car owners  offered an interest free loan</t>
  </si>
  <si>
    <t>Total cost of interest free loan</t>
  </si>
  <si>
    <t>Operating Cost savings for cars (pa)</t>
  </si>
  <si>
    <t>Cost per taxi of Retrofitting SCC Black cabs to LPG</t>
  </si>
  <si>
    <t>Cost per taxi of upgrading to a new ULEV black cabs</t>
  </si>
  <si>
    <t>Proportion</t>
  </si>
  <si>
    <t>Number</t>
  </si>
  <si>
    <t>Cost</t>
  </si>
  <si>
    <t>SCC Black Cab fleet upgrading to LPG</t>
  </si>
  <si>
    <t>Black Cab fleet upgrading to a new ULEV Cab</t>
  </si>
  <si>
    <t>Proportion offered interest free loan</t>
  </si>
  <si>
    <t>Actual amount of Loan</t>
  </si>
  <si>
    <t>Cost per Vehicle</t>
  </si>
  <si>
    <t>Worst Case loan</t>
  </si>
  <si>
    <t>Total operating cost saving for black cabs (pa)</t>
  </si>
  <si>
    <t>Workbook Map</t>
  </si>
  <si>
    <t>Each rectangle represents a worksheet, with input sheets on the left (yellow) and output sheets (green) on the right.</t>
  </si>
  <si>
    <t>Minor administrative links between sheets (e.g. to use consistent titles and protective markings) are not shown.</t>
  </si>
  <si>
    <t>Cover</t>
  </si>
  <si>
    <t>return to map</t>
  </si>
  <si>
    <t>Overview</t>
  </si>
  <si>
    <t>Model Name</t>
  </si>
  <si>
    <t>Model Responsible Owner</t>
  </si>
  <si>
    <t>Summary of what the outputs of the model are, and how they will be used</t>
  </si>
  <si>
    <t>Conventions</t>
  </si>
  <si>
    <r>
      <t xml:space="preserve">Cells with a red background are </t>
    </r>
    <r>
      <rPr>
        <b/>
        <sz val="10"/>
        <rFont val="Calibri"/>
        <family val="2"/>
        <scheme val="minor"/>
      </rPr>
      <t>labels or table headings</t>
    </r>
    <r>
      <rPr>
        <sz val="10"/>
        <rFont val="Calibri"/>
        <family val="2"/>
        <scheme val="minor"/>
      </rPr>
      <t>.</t>
    </r>
  </si>
  <si>
    <r>
      <t>Cells with a green background contain reportable</t>
    </r>
    <r>
      <rPr>
        <b/>
        <sz val="10"/>
        <rFont val="Calibri"/>
        <family val="2"/>
        <scheme val="minor"/>
      </rPr>
      <t xml:space="preserve"> model outputs</t>
    </r>
    <r>
      <rPr>
        <sz val="10"/>
        <rFont val="Calibri"/>
        <family val="2"/>
        <scheme val="minor"/>
      </rPr>
      <t>.</t>
    </r>
  </si>
  <si>
    <t>Latest Agreed / Circulated Version</t>
  </si>
  <si>
    <t>Version</t>
  </si>
  <si>
    <t>Sign-Off Date</t>
  </si>
  <si>
    <t>Sheffield CAZ Funding Model</t>
  </si>
  <si>
    <t xml:space="preserve">David Connolly </t>
  </si>
  <si>
    <t>Quality Assurance</t>
  </si>
  <si>
    <r>
      <t xml:space="preserve">Funding model for Sheffield and Rotherham Council's proposed Cleanr are Zone. </t>
    </r>
    <r>
      <rPr>
        <b/>
        <sz val="11"/>
        <rFont val="Calibri"/>
        <family val="2"/>
        <scheme val="minor"/>
      </rPr>
      <t/>
    </r>
  </si>
  <si>
    <t>Model Version</t>
  </si>
  <si>
    <t>Proposed Action</t>
  </si>
  <si>
    <t>Action Taken</t>
  </si>
  <si>
    <t>Issue Raised</t>
  </si>
  <si>
    <t>General Format of Model</t>
  </si>
  <si>
    <t>Reformat Model to conform with JAQU guidance/best practice</t>
  </si>
  <si>
    <t>Calculation of benefits/costs</t>
  </si>
  <si>
    <t>Consumer costs are calculated using capital costs, however JAQU have suggested using depreciation costs instead, this should be done and included in the model</t>
  </si>
  <si>
    <t>BaU Costs of upgrading black cab</t>
  </si>
  <si>
    <t>Total BaU cost of Upgrading Black Cabs</t>
  </si>
  <si>
    <t>Hard Coding/auditing</t>
  </si>
  <si>
    <t>The spreadsheet has not yet been through formal logic and format software audit which will be done using OAK audit software</t>
  </si>
  <si>
    <t>Ongoing but incomplete</t>
  </si>
  <si>
    <t>Calculations crowded and sometimes unclear</t>
  </si>
  <si>
    <t>Separation of calculations into more appropriate sheets</t>
  </si>
  <si>
    <t>Please note that quality Assurance is ongoing and has not yet been completed</t>
  </si>
  <si>
    <t>v9-17</t>
  </si>
  <si>
    <t>Vehicle do not appear to be taken from JAQU</t>
  </si>
  <si>
    <t>Take Vehicle values from JAQU guidance and apply to the model</t>
  </si>
  <si>
    <t>Capital cost benefit values used over depreciation</t>
  </si>
  <si>
    <t>Capital cost difference has been used to calculate welfare loss, but as recommended by JAQU (Naval) we should be using depreciation differences. This also takes fuel cost savings into account</t>
  </si>
  <si>
    <t>This sheet contains a rough guide of how the sheets in the workbook fit together</t>
  </si>
  <si>
    <t>Depreciation calculations have begun using Defra guidance as per email received 21/12/18 and will be included in the model once completed</t>
  </si>
  <si>
    <t>* Some sheets contain inputs, calculations and outputs, this has been picked up in the QA process and are in the process of being separated</t>
  </si>
  <si>
    <r>
      <t xml:space="preserve">Cells with a white background contain </t>
    </r>
    <r>
      <rPr>
        <b/>
        <sz val="10"/>
        <rFont val="Calibri"/>
        <family val="2"/>
        <scheme val="minor"/>
      </rPr>
      <t>model calculations</t>
    </r>
    <r>
      <rPr>
        <sz val="10"/>
        <rFont val="Calibri"/>
        <family val="2"/>
        <scheme val="minor"/>
      </rPr>
      <t>.</t>
    </r>
  </si>
  <si>
    <t>v17</t>
  </si>
  <si>
    <t>Nick Robinson, Toby Cuthbertson</t>
  </si>
  <si>
    <t>Generally not compliant with DfT best practice</t>
  </si>
  <si>
    <t>Need to make sure all formulas and cells are compliant with best practice</t>
  </si>
  <si>
    <t>Upgrading Car-Based Taxis in each area</t>
  </si>
  <si>
    <t>Proportion of cars upgrading</t>
  </si>
  <si>
    <t>Actual cost of upgrades</t>
  </si>
  <si>
    <t>Actual cost per vehicle</t>
  </si>
  <si>
    <t>Actual proportion of vehicle owners who use loan</t>
  </si>
  <si>
    <t>Total realised cost of Upgrades</t>
  </si>
  <si>
    <t>Car-based taxi operating cost savings (pa) - SCC</t>
  </si>
  <si>
    <t>Car-based taxi operating cost savings (pa) - RMBC</t>
  </si>
  <si>
    <t>Total cost</t>
  </si>
  <si>
    <t>Operator Benefit (pa)</t>
  </si>
  <si>
    <t>Total cost of upgrades in BaU</t>
  </si>
  <si>
    <t>Operating Cost Savings (pa)</t>
  </si>
  <si>
    <t>Incentives for SCC LGVs per vehicle</t>
  </si>
  <si>
    <t>Cost of Upgrade</t>
  </si>
  <si>
    <t>Total Cost of Upgrades</t>
  </si>
  <si>
    <t>Total Amount of loan</t>
  </si>
  <si>
    <t>BaU</t>
  </si>
  <si>
    <t>Total HGV Operating Cost Savings (pa)</t>
  </si>
  <si>
    <t>Comms/Hearts &amp; Minds</t>
  </si>
  <si>
    <t>H&amp;M campaigns to persuade other big fleets to upgrade - SCC &amp; RMBC Combined (pa)</t>
  </si>
  <si>
    <t>Monitoring and Evaluation</t>
  </si>
  <si>
    <t>Vehicle Type</t>
  </si>
  <si>
    <r>
      <t xml:space="preserve">Cells with a grey background are </t>
    </r>
    <r>
      <rPr>
        <b/>
        <sz val="10"/>
        <rFont val="Calibri"/>
        <family val="2"/>
        <scheme val="minor"/>
      </rPr>
      <t>textual annotations</t>
    </r>
    <r>
      <rPr>
        <sz val="10"/>
        <rFont val="Calibri"/>
        <family val="2"/>
        <scheme val="minor"/>
      </rPr>
      <t xml:space="preserve"> that are neither headings nor data (e.g. description of a calculation)</t>
    </r>
  </si>
  <si>
    <t>v9</t>
  </si>
  <si>
    <t>Action Completed?</t>
  </si>
  <si>
    <t>Yes</t>
  </si>
  <si>
    <r>
      <rPr>
        <b/>
        <sz val="11"/>
        <color theme="1"/>
        <rFont val="Calibri"/>
        <family val="2"/>
        <scheme val="minor"/>
      </rPr>
      <t xml:space="preserve">Internal QA Comment </t>
    </r>
    <r>
      <rPr>
        <sz val="11"/>
        <color theme="1"/>
        <rFont val="Calibri"/>
        <family val="2"/>
        <scheme val="minor"/>
      </rPr>
      <t>- These conventions will be used in all tabs as standard, but the standardisation process is ongoing</t>
    </r>
  </si>
  <si>
    <t>all</t>
  </si>
  <si>
    <t>JAQU vehicle values have been used where appropriate</t>
  </si>
  <si>
    <r>
      <t xml:space="preserve">Cells with a yellow background contain </t>
    </r>
    <r>
      <rPr>
        <b/>
        <sz val="10"/>
        <rFont val="Calibri"/>
        <family val="2"/>
        <scheme val="minor"/>
      </rPr>
      <t xml:space="preserve"> input data</t>
    </r>
  </si>
  <si>
    <t>Capex Item
£'000s</t>
  </si>
  <si>
    <t xml:space="preserve">Total Cost </t>
  </si>
  <si>
    <t>CAZ Revenue</t>
  </si>
  <si>
    <t>TOTAL</t>
  </si>
  <si>
    <t xml:space="preserve">CAZ Enforcement System and Infrastructure works </t>
  </si>
  <si>
    <t xml:space="preserve">Measures: non-compliant vehicles support packages </t>
  </si>
  <si>
    <t xml:space="preserve">Measures associated with Road-based Infrastructure </t>
  </si>
  <si>
    <t>Measures associated with Parking</t>
  </si>
  <si>
    <t>Charging infrastructure to support ULEV</t>
  </si>
  <si>
    <t>Costs of Communications Campaign</t>
  </si>
  <si>
    <t>Monitoring and Evaluation Costs</t>
  </si>
  <si>
    <t>Project and Financial Management and Prof Support</t>
  </si>
  <si>
    <t>Opex Item
£'000s</t>
  </si>
  <si>
    <t>CAZ Enforcement System - Back office running costs</t>
  </si>
  <si>
    <t>Project &amp; Financial Management &amp; Prof Support</t>
  </si>
  <si>
    <t>Revenue £'000s</t>
  </si>
  <si>
    <t>Charges Paid to gov't (5%)</t>
  </si>
  <si>
    <t>Earmarked to run the CAZ</t>
  </si>
  <si>
    <t>NET POSITION</t>
  </si>
  <si>
    <t>Cashflow £'000s</t>
  </si>
  <si>
    <t>Cost Category</t>
  </si>
  <si>
    <t>Capex</t>
  </si>
  <si>
    <t>Opex</t>
  </si>
  <si>
    <t>Funding Source</t>
  </si>
  <si>
    <t>TOTAL INCOME</t>
  </si>
  <si>
    <t>what</t>
  </si>
  <si>
    <t>Private Sector Funding</t>
  </si>
  <si>
    <t>TOTAL EXPENDITURE (exc Private sector)</t>
  </si>
  <si>
    <t>V17</t>
  </si>
  <si>
    <t xml:space="preserve">Cover, Map, QA tab and general 'tidy up' - MR </t>
  </si>
  <si>
    <t>V18</t>
  </si>
  <si>
    <t>Financial Case tables improved - erroneous links to external file removed, handling of the include/exclude revenue option, improved/explicit handling of private sector funds  etc</t>
  </si>
  <si>
    <t>Capex theme</t>
  </si>
  <si>
    <t>Capex Item</t>
  </si>
  <si>
    <t>Individual Cost</t>
  </si>
  <si>
    <t>Other</t>
  </si>
  <si>
    <t>Authority</t>
  </si>
  <si>
    <t>Financial Management and Prof Support</t>
  </si>
  <si>
    <t>Opex theme</t>
  </si>
  <si>
    <t>Opex Item</t>
  </si>
  <si>
    <t>MODEL LINE REF</t>
  </si>
  <si>
    <t>CAZ C+</t>
  </si>
  <si>
    <t>CAZ D</t>
  </si>
  <si>
    <t>=VLOOKUP($C4,CALC_Funding!$I:$AO,10,FALSE)/1000</t>
  </si>
  <si>
    <t>=VLOOKUP($C4,CALC_Funding!$I:$AO,29,FALSE)/1000</t>
  </si>
  <si>
    <t>Change cell D9 CALC_Current_option to CAZ C / CAZ D to toggle between outputs and use lookup formulas</t>
  </si>
  <si>
    <t>V19</t>
  </si>
  <si>
    <t>Bug-fix in Calc_funding sheet - Taxi Component 12 - Providing Incentives to Taxis - double negative in 2019 column removed</t>
  </si>
  <si>
    <t>Is there a difference?</t>
  </si>
  <si>
    <t>V20</t>
  </si>
  <si>
    <t>Revenue for decommissioning now coded as capex, rather than opex in Calc_funding sheet</t>
  </si>
  <si>
    <t>Undiscounted excluding private</t>
  </si>
  <si>
    <t>Type in cell J5 of Calc_funding sheet</t>
  </si>
  <si>
    <t>V22</t>
  </si>
  <si>
    <t>Ability to model up to an 8-year loan added 29/5/19</t>
  </si>
  <si>
    <t>Non-ignored Private Sector Funding</t>
  </si>
  <si>
    <t>Private Sector Funding included above</t>
  </si>
  <si>
    <t>Hard-wired numbers in Out_FinCase_Summary replaced with relevant calculations</t>
  </si>
  <si>
    <t>Not updated yet</t>
  </si>
  <si>
    <t>Previous values</t>
  </si>
  <si>
    <t>ANPR Frequency Analysis 6/6/19  - assumes 100% TTFE</t>
  </si>
  <si>
    <t>ANPR Frequency Analysis 6/6/19 - 100% TTFE but excludes the low frequency band</t>
  </si>
  <si>
    <t>Daily Charging Revenue - from ANPR Analysis V12 (6/6/18) - 2024</t>
  </si>
  <si>
    <t>Previous value</t>
  </si>
  <si>
    <t>V23</t>
  </si>
  <si>
    <t>Revised cordon crossing flows &amp; charging revenues for the new BaU and Preferred Option</t>
  </si>
  <si>
    <t>Cordon-crossing data for the 3 non-preferred options deleted (as the updated values for the new BaU fleet and 50% TTFE assumptions are not available yet</t>
  </si>
  <si>
    <t>Sector</t>
  </si>
  <si>
    <t>Support package available</t>
  </si>
  <si>
    <t>Funding
(million)</t>
  </si>
  <si>
    <t>%</t>
  </si>
  <si>
    <t>Implementation Funding
(IF)</t>
  </si>
  <si>
    <t>Contingency Allocation 
(CAF)</t>
  </si>
  <si>
    <t>No of vehicles affected</t>
  </si>
  <si>
    <t>No of Vehicles Assumption</t>
  </si>
  <si>
    <t xml:space="preserve">Average investment per vehicle </t>
  </si>
  <si>
    <t>LGV</t>
  </si>
  <si>
    <t>Interest free loans of up to £9k per affected vehicle</t>
  </si>
  <si>
    <t>No of non-compliant LGVs</t>
  </si>
  <si>
    <r>
      <t>plus</t>
    </r>
    <r>
      <rPr>
        <sz val="11"/>
        <color rgb="FF2F2B20"/>
        <rFont val="Calibri"/>
        <family val="2"/>
      </rPr>
      <t xml:space="preserve"> </t>
    </r>
  </si>
  <si>
    <t>Grants of up to £1k</t>
  </si>
  <si>
    <t>25% of above need incentive</t>
  </si>
  <si>
    <t>HGV</t>
  </si>
  <si>
    <t>Interest free loans of up to £35k per affected vehicle</t>
  </si>
  <si>
    <t>20% of Rigids, 10% of Arctics</t>
  </si>
  <si>
    <t>Non-Scheduled Buses / Coaches</t>
  </si>
  <si>
    <t>Loans of up to £42k per affected vehicle, subject to a funding competition.</t>
  </si>
  <si>
    <t>Smaller operator buses</t>
  </si>
  <si>
    <t>or</t>
  </si>
  <si>
    <t>Grants of up to £18k per vehicle for retrofits</t>
  </si>
  <si>
    <t>212 SCC, 51 RMBC buses</t>
  </si>
  <si>
    <t xml:space="preserve">Interest-free loans of up to £50k per affected vehicle, </t>
  </si>
  <si>
    <t>77% of fleet</t>
  </si>
  <si>
    <t>Grants of up to £10k per affected vehicle for retrofit.</t>
  </si>
  <si>
    <t xml:space="preserve">17% of fleet </t>
  </si>
  <si>
    <t>plus</t>
  </si>
  <si>
    <t xml:space="preserve">Grants of £1k per affected vehicle  </t>
  </si>
  <si>
    <t>94% of fleet</t>
  </si>
  <si>
    <t xml:space="preserve">Interest-free loans of up to £20k per affected vehicle, </t>
  </si>
  <si>
    <t>These 9 columns are used in a VLookup - do not add or subtarct any of them!</t>
  </si>
  <si>
    <t>3C needs 100% of the taxis to upgrade to achieve compliance (with 50% TTFE assumed)</t>
  </si>
  <si>
    <t xml:space="preserve">Email from Rachel Lee 23/5/19 </t>
  </si>
  <si>
    <t>Undiscouted</t>
  </si>
  <si>
    <t>Correction factor (needed to correct for the interest costs that go beyond 2025 which don't get discounted here)</t>
  </si>
  <si>
    <t>Assume that the main retrofitting as been paid for by CBTF</t>
  </si>
  <si>
    <t>Revised split between IF and CAF, based on teleconf with/email from Rachel Lee on 23 May 2019</t>
  </si>
  <si>
    <t>Refinement to the discounting of interest payments beyond 2025</t>
  </si>
  <si>
    <t>Other Government Funding</t>
  </si>
  <si>
    <t>Total Cost  (V22)</t>
  </si>
  <si>
    <t>Change</t>
  </si>
  <si>
    <t>Correction factor to handle the subsequent discounting  of the interest costs beyond 2025</t>
  </si>
  <si>
    <t>Length of loan - taxis</t>
  </si>
  <si>
    <t>%Cost of providing the outstanding loans - taxis</t>
  </si>
  <si>
    <t>%Cost of providing the outstanding loans - other veh types</t>
  </si>
  <si>
    <t>Length of loan - other vehicle types</t>
  </si>
  <si>
    <t>Calculating the cost of providing the loans for other (non-taxi) vehicle types</t>
  </si>
  <si>
    <t xml:space="preserve">Calculating the cost of providing the loans for taxis </t>
  </si>
  <si>
    <t>Interest Rate_Taxis</t>
  </si>
  <si>
    <t>Interest Rate_Other</t>
  </si>
  <si>
    <t>Predicted cost of these loans for taxis</t>
  </si>
  <si>
    <t>Interest on the taxi loans - Contingency</t>
  </si>
  <si>
    <t>Interest on the Other Veh Type Loans - Contingency</t>
  </si>
  <si>
    <t>Interest on the other veh type loans - Contingency</t>
  </si>
  <si>
    <t>Other Govt Funding</t>
  </si>
  <si>
    <t>Factors for splitting Incentive Costs between hackney and car-based</t>
  </si>
  <si>
    <t>x2 for ULEV as it is for full cost of upgrade, not rule of half percieved cost whereas retrofit gives no additional benefits and the full cost is assumed to be percieved</t>
  </si>
  <si>
    <t>SCC Black Cab Retrofit</t>
  </si>
  <si>
    <t>SCC Black Cab Electric</t>
  </si>
  <si>
    <t>SCC Car-based</t>
  </si>
  <si>
    <t>RMBC Car-based</t>
  </si>
  <si>
    <t>Taxi - Black Cabs</t>
  </si>
  <si>
    <t>Grants of £500 per affected vehicle  - SCC Car-based Taxis</t>
  </si>
  <si>
    <t>Grants of £250 per affected vehicle  - RMBC Car-based Taxis</t>
  </si>
  <si>
    <t>98% SCC PHVs (1,890)</t>
  </si>
  <si>
    <t xml:space="preserve"> 60% of RMBC PHVS ( 466 vehicles)</t>
  </si>
  <si>
    <t>1,929 SCC PHVs + 20% of RMBC Car-based taxis (155 vehicles)</t>
  </si>
  <si>
    <t xml:space="preserve">Smaller operator grants of £18K towards the assumed £60k cost of new buses </t>
  </si>
  <si>
    <t>Loans&amp;Incentives calculations improved (to pick up current IF vs CAF splits etc)</t>
  </si>
  <si>
    <t>Bug-fix in cell D150 of Calc_Current_option - previously was using the 'Benefit of a new bus', rather than the cost of a new bus (so 50% of correct value)</t>
  </si>
  <si>
    <t>Previous Values (V22)</t>
  </si>
  <si>
    <t>Split of contingency on interest payments between IF and CAF calculated from the corresponding allocation of the interest paid by the different veh types (excluding cars)</t>
  </si>
  <si>
    <t>Upgrades of the main SCC and RMBC bus fleets moved from IF to 'Other Government Funding'</t>
  </si>
  <si>
    <t>Σ</t>
  </si>
  <si>
    <t>Discount Factor</t>
  </si>
  <si>
    <t>Proper discounting</t>
  </si>
  <si>
    <t>Current implementation</t>
  </si>
  <si>
    <t>Discounted (current implementation)</t>
  </si>
  <si>
    <t>Interest rate calculation tidied up and calculation of discount correction factor improved</t>
  </si>
  <si>
    <t>(Other)</t>
  </si>
  <si>
    <t>Total interest free Loans- Other</t>
  </si>
  <si>
    <t>Total interest free Loans issued (all categories)</t>
  </si>
  <si>
    <t>Total Interest cost of loans (all categories)</t>
  </si>
  <si>
    <t xml:space="preserve"> Item</t>
  </si>
  <si>
    <t>CAZ C+ vs CAZ D difference</t>
  </si>
  <si>
    <t>CAZ D - CAZ C</t>
  </si>
  <si>
    <t>IF</t>
  </si>
  <si>
    <t>CAF</t>
  </si>
  <si>
    <t>CAZ C+ IF</t>
  </si>
  <si>
    <t>CAZ C+ CAF</t>
  </si>
  <si>
    <t>CAZ D IF</t>
  </si>
  <si>
    <t>CAZ D CAF</t>
  </si>
  <si>
    <t>*</t>
  </si>
  <si>
    <t>Same funding allocation</t>
  </si>
  <si>
    <t>Not needed in CAZ D</t>
  </si>
  <si>
    <t>New in CAZ D</t>
  </si>
  <si>
    <t>TOTAL CAPEX</t>
  </si>
  <si>
    <t>TOTAL OPEX</t>
  </si>
  <si>
    <t>Needed in CAZ D</t>
  </si>
  <si>
    <t>Funding allocation</t>
  </si>
  <si>
    <t>Bug-fix in the calculation of the total interest to be paid on the loans - 2025 interest was being double-counted in V23</t>
  </si>
  <si>
    <t>V24</t>
  </si>
  <si>
    <t>Taxi and 'Other Veh Types' can now use different durations of loan</t>
  </si>
  <si>
    <t>V22 values for numbers of vehicles to be upgraded and charging revenue for CAZ 3D re-inserted, to allow a set of CAZ D costs to be used</t>
  </si>
  <si>
    <t>V25</t>
  </si>
  <si>
    <t>CAZ C</t>
  </si>
  <si>
    <t>Amount of Clean Bus Technology Funding obtained in 2019 to fund SCC bus retro-fitting</t>
  </si>
  <si>
    <t>Email from Jane Wiliby 14/6/2019</t>
  </si>
  <si>
    <t>Amount of Clean Bus Technology Funding obtained to fund SCC retro-fitting</t>
  </si>
  <si>
    <t>Remaining cost of the Sheffield Retrofitting</t>
  </si>
  <si>
    <t>Retro-fit existing fleet - CBTF</t>
  </si>
  <si>
    <t>Retro-fit existing fleet - still to do</t>
  </si>
  <si>
    <t>V26</t>
  </si>
  <si>
    <t>Some spurious links to other spreadsheets deleted</t>
  </si>
  <si>
    <t>Cost of retrofitting SCC buses split between CBTF and 'Still to do'</t>
  </si>
  <si>
    <t>Includes all of the Sheffield upgrades, including those funded by CBTF</t>
  </si>
  <si>
    <t>Not used for the upgrades funded by the CBTF, which are currently assumed to all take place in 2019, though is used to split the oeprating costs of those upgrades</t>
  </si>
  <si>
    <t>The reduced cost per bus assumes that any surplus from the CBGT is still in the kitty</t>
  </si>
  <si>
    <t>Moves to CAF in CAZ D</t>
  </si>
  <si>
    <t>Revised allocation to fit vehicle sector loan interest allocation between funds</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</si>
</sst>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0.0%"/>
    <numFmt numFmtId="167" formatCode="#,##0_ ;\-#,##0\ "/>
    <numFmt numFmtId="168" formatCode="_-* #,##0.000_-;\-* #,##0.000_-;_-* &quot;-&quot;??_-;_-@_-"/>
    <numFmt numFmtId="169" formatCode="&quot;£&quot;#,##0.00"/>
    <numFmt numFmtId="170" formatCode="&quot;£&quot;#,##0"/>
    <numFmt numFmtId="171" formatCode="_-* #,##0.0000_-;\-* #,##0.0000_-;_-* &quot;-&quot;??_-;_-@_-"/>
    <numFmt numFmtId="172" formatCode="0.000"/>
    <numFmt numFmtId="173" formatCode="_-* #,##0.000_-;\-* #,##0.000_-;_-* &quot;-&quot;???_-;_-@_-"/>
    <numFmt numFmtId="174" formatCode="d\ mmm\ yyyy"/>
    <numFmt numFmtId="175" formatCode="_-* #,##0.00000_-;\-* #,##0.00000_-;_-* &quot;-&quot;??_-;_-@_-"/>
    <numFmt numFmtId="176" formatCode="&quot;£&quot;#0.0,,"/>
    <numFmt numFmtId="177" formatCode="_-* #,##0.0_-;\-* #,##0.0_-;_-* &quot;-&quot;??_-;_-@_-"/>
    <numFmt numFmtId="178" formatCode="_-[$£-809]* #,##0.00_-;\-[$£-809]* #,##0.00_-;_-[$£-809]* &quot;-&quot;??_-;_-@_-"/>
  </numFmts>
  <fonts count="44" x14ac:knownFonts="1">
    <font>
      <sz val="11"/>
      <color theme="1"/>
      <name val="Calibri"/>
      <family val="2"/>
      <scheme val="minor"/>
    </font>
    <font>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b/>
      <sz val="11"/>
      <color theme="1"/>
      <name val="Calibri"/>
      <family val="2"/>
      <scheme val="minor"/>
    </font>
    <font>
      <sz val="11"/>
      <name val="Calibri"/>
      <family val="2"/>
      <scheme val="minor"/>
    </font>
    <font>
      <b/>
      <sz val="11"/>
      <color rgb="FFFF0000"/>
      <name val="Calibri"/>
      <family val="2"/>
      <scheme val="minor"/>
    </font>
    <font>
      <b/>
      <sz val="11"/>
      <color theme="0"/>
      <name val="Calibri"/>
      <family val="2"/>
      <scheme val="minor"/>
    </font>
    <font>
      <i/>
      <sz val="11"/>
      <color theme="1"/>
      <name val="Calibri"/>
      <family val="2"/>
      <scheme val="minor"/>
    </font>
    <font>
      <sz val="11"/>
      <name val="Calibri"/>
      <family val="2"/>
    </font>
    <font>
      <b/>
      <sz val="14"/>
      <color theme="0"/>
      <name val="Calibri"/>
      <family val="2"/>
      <scheme val="minor"/>
    </font>
    <font>
      <sz val="10"/>
      <name val="Calibri"/>
      <family val="2"/>
      <scheme val="minor"/>
    </font>
    <font>
      <u/>
      <sz val="11"/>
      <color theme="10"/>
      <name val="Calibri"/>
      <family val="2"/>
      <scheme val="minor"/>
    </font>
    <font>
      <b/>
      <sz val="10"/>
      <color rgb="FFFF0000"/>
      <name val="Calibri"/>
      <family val="2"/>
      <scheme val="minor"/>
    </font>
    <font>
      <b/>
      <sz val="12"/>
      <color theme="0"/>
      <name val="Calibri"/>
      <family val="2"/>
      <scheme val="minor"/>
    </font>
    <font>
      <b/>
      <sz val="10"/>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
      <b/>
      <sz val="11"/>
      <color theme="1" tint="0.34998626667073579"/>
      <name val="Calibri"/>
      <family val="2"/>
      <scheme val="minor"/>
    </font>
    <font>
      <b/>
      <sz val="14"/>
      <color theme="1" tint="0.34998626667073579"/>
      <name val="Calibri"/>
      <family val="2"/>
      <scheme val="minor"/>
    </font>
    <font>
      <sz val="14"/>
      <color rgb="FF000000"/>
      <name val="Calibri"/>
      <family val="2"/>
      <scheme val="minor"/>
    </font>
    <font>
      <i/>
      <sz val="14"/>
      <color rgb="FFC00000"/>
      <name val="Calibri"/>
      <family val="2"/>
      <scheme val="minor"/>
    </font>
    <font>
      <sz val="14"/>
      <color rgb="FFFF0000"/>
      <name val="Calibri"/>
      <family val="2"/>
      <scheme val="minor"/>
    </font>
    <font>
      <b/>
      <sz val="14"/>
      <color theme="1"/>
      <name val="Calibri"/>
      <family val="2"/>
      <scheme val="minor"/>
    </font>
    <font>
      <sz val="14"/>
      <color theme="1"/>
      <name val="Calibri"/>
      <family val="2"/>
      <scheme val="minor"/>
    </font>
    <font>
      <sz val="9"/>
      <color indexed="81"/>
      <name val="Tahoma"/>
      <charset val="1"/>
    </font>
    <font>
      <b/>
      <sz val="9"/>
      <color indexed="81"/>
      <name val="Tahoma"/>
      <charset val="1"/>
    </font>
    <font>
      <b/>
      <sz val="11"/>
      <color rgb="FF2F2B20"/>
      <name val="Calibri"/>
      <family val="2"/>
    </font>
    <font>
      <b/>
      <i/>
      <sz val="11"/>
      <color rgb="FF2F2B20"/>
      <name val="Calibri"/>
      <family val="2"/>
    </font>
    <font>
      <sz val="11"/>
      <color rgb="FF2F2B20"/>
      <name val="Calibri"/>
      <family val="2"/>
    </font>
    <font>
      <i/>
      <sz val="11"/>
      <color rgb="FF2F2B20"/>
      <name val="Calibri"/>
      <family val="2"/>
    </font>
    <font>
      <u/>
      <sz val="11"/>
      <color rgb="FF2F2B20"/>
      <name val="Calibri"/>
      <family val="2"/>
    </font>
    <font>
      <sz val="11"/>
      <name val="Arial"/>
      <family val="2"/>
    </font>
    <font>
      <b/>
      <sz val="14"/>
      <name val="Calibri"/>
      <family val="2"/>
      <scheme val="minor"/>
    </font>
    <font>
      <sz val="14"/>
      <name val="Calibri"/>
      <family val="2"/>
      <scheme val="minor"/>
    </font>
    <font>
      <b/>
      <sz val="20"/>
      <name val="Calibri"/>
      <family val="2"/>
      <scheme val="minor"/>
    </font>
    <font>
      <sz val="11"/>
      <color rgb="FFFF5050"/>
      <name val="Calibri"/>
      <family val="2"/>
      <scheme val="minor"/>
    </font>
    <font>
      <b/>
      <sz val="11"/>
      <color rgb="FFFF5050"/>
      <name val="Calibri"/>
      <family val="2"/>
      <scheme val="minor"/>
    </font>
    <font>
      <sz val="14"/>
      <color theme="1"/>
      <name val="Calibri"/>
      <family val="2"/>
    </font>
    <font>
      <b/>
      <sz val="12"/>
      <color theme="1" tint="0.34998626667073579"/>
      <name val="Calibri"/>
      <family val="2"/>
      <scheme val="minor"/>
    </font>
    <font>
      <b/>
      <sz val="11"/>
      <color theme="1" tint="0.249977111117893"/>
      <name val="Calibri"/>
      <family val="2"/>
      <scheme val="minor"/>
    </font>
    <font>
      <i/>
      <sz val="11"/>
      <color rgb="FFC00000"/>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rgb="FFFF00FF"/>
        <bgColor indexed="64"/>
      </patternFill>
    </fill>
    <fill>
      <patternFill patternType="solid">
        <fgColor rgb="FFC00000"/>
        <bgColor indexed="64"/>
      </patternFill>
    </fill>
    <fill>
      <patternFill patternType="solid">
        <fgColor theme="7" tint="0.79998168889431442"/>
        <bgColor indexed="64"/>
      </patternFill>
    </fill>
    <fill>
      <patternFill patternType="solid">
        <fgColor rgb="FFFFCCCC"/>
        <bgColor indexed="64"/>
      </patternFill>
    </fill>
    <fill>
      <patternFill patternType="solid">
        <fgColor theme="0" tint="-0.14999847407452621"/>
        <bgColor indexed="64"/>
      </patternFill>
    </fill>
    <fill>
      <patternFill patternType="solid">
        <fgColor theme="0"/>
        <bgColor indexed="64"/>
      </patternFill>
    </fill>
    <fill>
      <patternFill patternType="solid">
        <fgColor rgb="FFFFF2CC"/>
        <bgColor indexed="64"/>
      </patternFill>
    </fill>
    <fill>
      <patternFill patternType="solid">
        <fgColor rgb="FF99FF99"/>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FFFF99"/>
        <bgColor indexed="64"/>
      </patternFill>
    </fill>
    <fill>
      <patternFill patternType="solid">
        <fgColor rgb="FFF7F6EB"/>
        <bgColor indexed="64"/>
      </patternFill>
    </fill>
    <fill>
      <patternFill patternType="solid">
        <fgColor theme="9" tint="0.79998168889431442"/>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808080"/>
      </left>
      <right style="thin">
        <color rgb="FF808080"/>
      </right>
      <top style="thin">
        <color rgb="FF808080"/>
      </top>
      <bottom style="thin">
        <color rgb="FF808080"/>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medium">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bottom/>
      <diagonal/>
    </border>
    <border>
      <left/>
      <right style="thin">
        <color theme="0" tint="-0.499984740745262"/>
      </right>
      <top style="medium">
        <color theme="0" tint="-0.499984740745262"/>
      </top>
      <bottom style="medium">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medium">
        <color theme="0" tint="-0.499984740745262"/>
      </top>
      <bottom style="medium">
        <color theme="0" tint="-0.499984740745262"/>
      </bottom>
      <diagonal/>
    </border>
    <border>
      <left style="thick">
        <color theme="0" tint="-0.499984740745262"/>
      </left>
      <right style="thin">
        <color theme="0" tint="-0.499984740745262"/>
      </right>
      <top style="medium">
        <color theme="0" tint="-0.499984740745262"/>
      </top>
      <bottom style="thick">
        <color theme="0" tint="-0.499984740745262"/>
      </bottom>
      <diagonal/>
    </border>
    <border>
      <left style="thin">
        <color theme="0" tint="-0.499984740745262"/>
      </left>
      <right style="thin">
        <color theme="0" tint="-0.499984740745262"/>
      </right>
      <top style="medium">
        <color theme="0" tint="-0.499984740745262"/>
      </top>
      <bottom style="thick">
        <color theme="0" tint="-0.499984740745262"/>
      </bottom>
      <diagonal/>
    </border>
    <border>
      <left style="thin">
        <color theme="0" tint="-0.499984740745262"/>
      </left>
      <right style="thick">
        <color theme="0" tint="-0.499984740745262"/>
      </right>
      <top style="medium">
        <color theme="0" tint="-0.499984740745262"/>
      </top>
      <bottom style="thick">
        <color theme="0" tint="-0.499984740745262"/>
      </bottom>
      <diagonal/>
    </border>
    <border>
      <left/>
      <right style="thick">
        <color theme="0" tint="-0.499984740745262"/>
      </right>
      <top style="thin">
        <color theme="0" tint="-0.499984740745262"/>
      </top>
      <bottom style="thin">
        <color theme="0" tint="-0.499984740745262"/>
      </bottom>
      <diagonal/>
    </border>
    <border>
      <left style="thick">
        <color theme="0" tint="-0.499984740745262"/>
      </left>
      <right style="medium">
        <color theme="0" tint="-0.499984740745262"/>
      </right>
      <top style="medium">
        <color theme="0" tint="-0.499984740745262"/>
      </top>
      <bottom/>
      <diagonal/>
    </border>
    <border>
      <left/>
      <right style="thick">
        <color theme="0" tint="-0.499984740745262"/>
      </right>
      <top/>
      <bottom style="thin">
        <color theme="0" tint="-0.499984740745262"/>
      </bottom>
      <diagonal/>
    </border>
    <border>
      <left style="thick">
        <color theme="0" tint="-0.499984740745262"/>
      </left>
      <right style="medium">
        <color theme="0" tint="-0.499984740745262"/>
      </right>
      <top/>
      <bottom/>
      <diagonal/>
    </border>
    <border>
      <left style="thick">
        <color theme="0" tint="-0.499984740745262"/>
      </left>
      <right style="medium">
        <color theme="0" tint="-0.499984740745262"/>
      </right>
      <top/>
      <bottom style="thin">
        <color theme="0" tint="-0.499984740745262"/>
      </bottom>
      <diagonal/>
    </border>
    <border>
      <left/>
      <right style="thick">
        <color theme="0" tint="-0.499984740745262"/>
      </right>
      <top style="medium">
        <color theme="0" tint="-0.499984740745262"/>
      </top>
      <bottom style="medium">
        <color theme="0" tint="-0.499984740745262"/>
      </bottom>
      <diagonal/>
    </border>
    <border>
      <left style="thick">
        <color theme="0" tint="-0.499984740745262"/>
      </left>
      <right style="medium">
        <color theme="0" tint="-0.499984740745262"/>
      </right>
      <top style="thin">
        <color theme="0" tint="-0.499984740745262"/>
      </top>
      <bottom/>
      <diagonal/>
    </border>
    <border>
      <left style="thick">
        <color theme="0" tint="-0.499984740745262"/>
      </left>
      <right style="medium">
        <color theme="0" tint="-0.499984740745262"/>
      </right>
      <top/>
      <bottom style="medium">
        <color theme="0" tint="-0.499984740745262"/>
      </bottom>
      <diagonal/>
    </border>
    <border>
      <left/>
      <right style="thick">
        <color theme="0" tint="-0.499984740745262"/>
      </right>
      <top style="medium">
        <color theme="0" tint="-0.499984740745262"/>
      </top>
      <bottom style="thick">
        <color theme="0" tint="-0.499984740745262"/>
      </bottom>
      <diagonal/>
    </border>
    <border>
      <left style="thin">
        <color theme="0" tint="-0.499984740745262"/>
      </left>
      <right style="thick">
        <color theme="0" tint="-0.499984740745262"/>
      </right>
      <top/>
      <bottom/>
      <diagonal/>
    </border>
    <border>
      <left/>
      <right/>
      <top/>
      <bottom style="medium">
        <color theme="0" tint="-0.499984740745262"/>
      </bottom>
      <diagonal/>
    </border>
    <border>
      <left style="medium">
        <color rgb="FFD2CB6C"/>
      </left>
      <right style="medium">
        <color rgb="FFD2CB6C"/>
      </right>
      <top style="medium">
        <color rgb="FFD2CB6C"/>
      </top>
      <bottom style="medium">
        <color rgb="FFD2CB6C"/>
      </bottom>
      <diagonal/>
    </border>
    <border>
      <left style="medium">
        <color rgb="FFD2CB6C"/>
      </left>
      <right style="medium">
        <color rgb="FFD2CB6C"/>
      </right>
      <top style="medium">
        <color rgb="FFD2CB6C"/>
      </top>
      <bottom/>
      <diagonal/>
    </border>
    <border>
      <left style="medium">
        <color rgb="FFD2CB6C"/>
      </left>
      <right style="medium">
        <color rgb="FFD2CB6C"/>
      </right>
      <top/>
      <bottom/>
      <diagonal/>
    </border>
    <border>
      <left style="medium">
        <color rgb="FFD2CB6C"/>
      </left>
      <right style="medium">
        <color rgb="FFD2CB6C"/>
      </right>
      <top/>
      <bottom style="medium">
        <color rgb="FFD2CB6C"/>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medium">
        <color theme="0" tint="-0.499984740745262"/>
      </bottom>
      <diagonal/>
    </border>
    <border>
      <left style="thick">
        <color theme="0" tint="-0.499984740745262"/>
      </left>
      <right style="thick">
        <color theme="0" tint="-0.499984740745262"/>
      </right>
      <top style="thick">
        <color theme="0" tint="-0.499984740745262"/>
      </top>
      <bottom/>
      <diagonal/>
    </border>
    <border>
      <left style="thick">
        <color theme="0" tint="-0.499984740745262"/>
      </left>
      <right style="thick">
        <color theme="0" tint="-0.499984740745262"/>
      </right>
      <top/>
      <bottom style="thin">
        <color theme="0" tint="-0.499984740745262"/>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style="thick">
        <color theme="0" tint="-0.499984740745262"/>
      </right>
      <top style="thin">
        <color theme="0" tint="-0.499984740745262"/>
      </top>
      <bottom/>
      <diagonal/>
    </border>
    <border>
      <left/>
      <right/>
      <top style="thick">
        <color theme="0" tint="-0.499984740745262"/>
      </top>
      <bottom style="thick">
        <color theme="0" tint="-0.499984740745262"/>
      </bottom>
      <diagonal/>
    </border>
    <border>
      <left/>
      <right/>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style="medium">
        <color theme="0" tint="-0.499984740745262"/>
      </bottom>
      <diagonal/>
    </border>
    <border>
      <left/>
      <right style="thin">
        <color theme="0" tint="-0.499984740745262"/>
      </right>
      <top style="medium">
        <color theme="0" tint="-0.499984740745262"/>
      </top>
      <bottom/>
      <diagonal/>
    </border>
    <border>
      <left style="thin">
        <color theme="0" tint="-0.499984740745262"/>
      </left>
      <right style="thick">
        <color theme="0" tint="-0.499984740745262"/>
      </right>
      <top/>
      <bottom style="thick">
        <color theme="0" tint="-0.499984740745262"/>
      </bottom>
      <diagonal/>
    </border>
    <border>
      <left style="medium">
        <color theme="0" tint="-0.499984740745262"/>
      </left>
      <right style="thin">
        <color theme="0" tint="-0.499984740745262"/>
      </right>
      <top/>
      <bottom style="thin">
        <color theme="0" tint="-0.499984740745262"/>
      </bottom>
      <diagonal/>
    </border>
    <border>
      <left style="medium">
        <color theme="0" tint="-0.499984740745262"/>
      </left>
      <right style="thin">
        <color theme="0" tint="-0.499984740745262"/>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xf numFmtId="0" fontId="13" fillId="0" borderId="0" applyNumberFormat="0" applyFill="0" applyBorder="0" applyAlignment="0" applyProtection="0"/>
  </cellStyleXfs>
  <cellXfs count="980">
    <xf numFmtId="0" fontId="0" fillId="0" borderId="0" xfId="0"/>
    <xf numFmtId="0" fontId="0" fillId="0" borderId="0" xfId="0" applyAlignment="1">
      <alignment wrapText="1"/>
    </xf>
    <xf numFmtId="164" fontId="2" fillId="0" borderId="0" xfId="2" applyNumberFormat="1" applyFont="1"/>
    <xf numFmtId="164" fontId="0" fillId="0" borderId="0" xfId="2" applyNumberFormat="1" applyFont="1"/>
    <xf numFmtId="164" fontId="2" fillId="0" borderId="0" xfId="0" applyNumberFormat="1" applyFont="1"/>
    <xf numFmtId="165" fontId="2" fillId="0" borderId="0" xfId="1" applyNumberFormat="1" applyFont="1"/>
    <xf numFmtId="164" fontId="0" fillId="0" borderId="0" xfId="2" applyNumberFormat="1" applyFont="1" applyFill="1"/>
    <xf numFmtId="164" fontId="2" fillId="0" borderId="0" xfId="2" applyNumberFormat="1" applyFont="1" applyFill="1"/>
    <xf numFmtId="165" fontId="2" fillId="0" borderId="0" xfId="1" applyNumberFormat="1" applyFont="1" applyFill="1"/>
    <xf numFmtId="166" fontId="0" fillId="0" borderId="0" xfId="3" applyNumberFormat="1" applyFont="1" applyFill="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1"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2" fillId="2" borderId="1" xfId="0" applyFont="1" applyFill="1" applyBorder="1"/>
    <xf numFmtId="9" fontId="0" fillId="2" borderId="1" xfId="3" applyFont="1" applyFill="1" applyBorder="1"/>
    <xf numFmtId="0" fontId="5" fillId="0" borderId="0" xfId="0" applyFont="1"/>
    <xf numFmtId="9" fontId="2" fillId="0" borderId="0" xfId="3" applyFont="1" applyFill="1"/>
    <xf numFmtId="0" fontId="0" fillId="0" borderId="0" xfId="0" applyFill="1"/>
    <xf numFmtId="164" fontId="0" fillId="0" borderId="11" xfId="2" applyNumberFormat="1" applyFont="1" applyBorder="1"/>
    <xf numFmtId="164" fontId="0" fillId="0" borderId="12" xfId="2" applyNumberFormat="1" applyFont="1" applyBorder="1"/>
    <xf numFmtId="0" fontId="0" fillId="0" borderId="0" xfId="0" applyFill="1" applyAlignment="1">
      <alignment wrapText="1"/>
    </xf>
    <xf numFmtId="0" fontId="0" fillId="0" borderId="0" xfId="0" applyBorder="1" applyAlignment="1">
      <alignment wrapText="1"/>
    </xf>
    <xf numFmtId="164" fontId="0" fillId="0" borderId="11" xfId="2" applyNumberFormat="1" applyFont="1" applyFill="1" applyBorder="1"/>
    <xf numFmtId="164" fontId="0" fillId="0" borderId="12" xfId="2" applyNumberFormat="1" applyFont="1" applyFill="1" applyBorder="1"/>
    <xf numFmtId="164" fontId="0" fillId="0" borderId="0" xfId="2" applyNumberFormat="1" applyFont="1" applyFill="1" applyBorder="1"/>
    <xf numFmtId="9" fontId="2" fillId="0" borderId="0" xfId="3" applyFont="1"/>
    <xf numFmtId="0" fontId="0" fillId="0" borderId="0" xfId="0" applyFill="1" applyBorder="1"/>
    <xf numFmtId="0" fontId="0" fillId="0" borderId="5" xfId="0" applyFill="1" applyBorder="1"/>
    <xf numFmtId="0" fontId="0" fillId="0" borderId="1" xfId="0" applyFill="1" applyBorder="1"/>
    <xf numFmtId="0" fontId="0" fillId="0" borderId="6" xfId="0" applyFill="1" applyBorder="1"/>
    <xf numFmtId="44" fontId="0" fillId="0" borderId="0" xfId="2" applyFont="1"/>
    <xf numFmtId="0" fontId="0" fillId="2" borderId="0" xfId="0" applyFill="1"/>
    <xf numFmtId="9" fontId="2" fillId="0" borderId="0" xfId="0" applyNumberFormat="1" applyFont="1"/>
    <xf numFmtId="165" fontId="6" fillId="0" borderId="0" xfId="1" applyNumberFormat="1" applyFont="1"/>
    <xf numFmtId="0" fontId="2" fillId="0" borderId="0" xfId="0" applyFont="1"/>
    <xf numFmtId="164" fontId="0" fillId="0" borderId="1" xfId="2" applyNumberFormat="1" applyFont="1" applyBorder="1"/>
    <xf numFmtId="0" fontId="2" fillId="0" borderId="0" xfId="0" applyFont="1" applyAlignment="1">
      <alignment wrapText="1"/>
    </xf>
    <xf numFmtId="43" fontId="0" fillId="0" borderId="0" xfId="1" applyFont="1" applyFill="1"/>
    <xf numFmtId="164" fontId="0" fillId="0" borderId="18" xfId="2" applyNumberFormat="1" applyFont="1" applyBorder="1"/>
    <xf numFmtId="0" fontId="7" fillId="0" borderId="0" xfId="0" applyFont="1"/>
    <xf numFmtId="0" fontId="5" fillId="0" borderId="0" xfId="0" applyFont="1" applyAlignment="1">
      <alignment wrapText="1"/>
    </xf>
    <xf numFmtId="9" fontId="0" fillId="0" borderId="0" xfId="3" applyFont="1" applyFill="1"/>
    <xf numFmtId="0" fontId="0" fillId="0" borderId="0" xfId="0" applyFont="1"/>
    <xf numFmtId="9" fontId="0" fillId="0" borderId="0" xfId="0" applyNumberFormat="1" applyFill="1"/>
    <xf numFmtId="164" fontId="2" fillId="0" borderId="6" xfId="0" applyNumberFormat="1" applyFont="1" applyBorder="1"/>
    <xf numFmtId="164" fontId="2" fillId="0" borderId="9" xfId="0" applyNumberFormat="1" applyFont="1" applyBorder="1"/>
    <xf numFmtId="164" fontId="2" fillId="0" borderId="0" xfId="2" applyNumberFormat="1" applyFont="1" applyBorder="1"/>
    <xf numFmtId="0" fontId="0" fillId="2" borderId="24" xfId="0" applyFill="1" applyBorder="1"/>
    <xf numFmtId="0" fontId="0" fillId="2" borderId="25" xfId="0" applyFill="1" applyBorder="1"/>
    <xf numFmtId="43" fontId="0" fillId="0" borderId="0" xfId="1" applyFont="1"/>
    <xf numFmtId="0" fontId="0" fillId="0" borderId="0" xfId="0" applyAlignment="1">
      <alignment horizontal="right" wrapText="1"/>
    </xf>
    <xf numFmtId="164" fontId="2" fillId="0" borderId="0" xfId="0" applyNumberFormat="1" applyFont="1" applyFill="1"/>
    <xf numFmtId="165" fontId="2" fillId="2" borderId="1" xfId="1" applyNumberFormat="1" applyFont="1" applyFill="1" applyBorder="1"/>
    <xf numFmtId="0" fontId="6" fillId="0" borderId="0" xfId="0" applyFont="1" applyFill="1" applyBorder="1"/>
    <xf numFmtId="0" fontId="0" fillId="0" borderId="0" xfId="0" applyBorder="1"/>
    <xf numFmtId="164" fontId="2" fillId="0" borderId="0" xfId="0" applyNumberFormat="1" applyFont="1" applyBorder="1"/>
    <xf numFmtId="164" fontId="0" fillId="0" borderId="0" xfId="2" applyNumberFormat="1" applyFont="1" applyBorder="1"/>
    <xf numFmtId="0" fontId="0" fillId="0" borderId="10" xfId="0" applyBorder="1"/>
    <xf numFmtId="0" fontId="0" fillId="0" borderId="13" xfId="0" applyBorder="1" applyAlignment="1">
      <alignment wrapText="1"/>
    </xf>
    <xf numFmtId="0" fontId="0" fillId="0" borderId="11" xfId="0" applyBorder="1"/>
    <xf numFmtId="0" fontId="0" fillId="0" borderId="13" xfId="0" applyBorder="1"/>
    <xf numFmtId="164" fontId="0" fillId="0" borderId="14" xfId="2" applyNumberFormat="1" applyFont="1" applyBorder="1"/>
    <xf numFmtId="9" fontId="0" fillId="0" borderId="1" xfId="3" applyFont="1" applyFill="1" applyBorder="1"/>
    <xf numFmtId="9" fontId="2" fillId="0" borderId="1" xfId="3" applyFont="1" applyFill="1" applyBorder="1"/>
    <xf numFmtId="0" fontId="0" fillId="2" borderId="26" xfId="0" applyFill="1" applyBorder="1"/>
    <xf numFmtId="0" fontId="0" fillId="2" borderId="21" xfId="0" applyFill="1" applyBorder="1"/>
    <xf numFmtId="0" fontId="0" fillId="2" borderId="22" xfId="0" applyFill="1" applyBorder="1"/>
    <xf numFmtId="9" fontId="2" fillId="2" borderId="1" xfId="3" applyFont="1" applyFill="1" applyBorder="1"/>
    <xf numFmtId="9" fontId="2" fillId="2" borderId="1" xfId="0" applyNumberFormat="1" applyFont="1" applyFill="1" applyBorder="1"/>
    <xf numFmtId="9" fontId="2" fillId="0" borderId="0" xfId="0" applyNumberFormat="1" applyFont="1" applyFill="1"/>
    <xf numFmtId="44" fontId="0" fillId="0" borderId="0" xfId="0" applyNumberFormat="1" applyFill="1"/>
    <xf numFmtId="9" fontId="0" fillId="2" borderId="1" xfId="0" applyNumberFormat="1" applyFill="1" applyBorder="1"/>
    <xf numFmtId="168" fontId="0" fillId="0" borderId="0" xfId="1" applyNumberFormat="1" applyFont="1"/>
    <xf numFmtId="168" fontId="0" fillId="3" borderId="0" xfId="1" applyNumberFormat="1" applyFont="1" applyFill="1"/>
    <xf numFmtId="168" fontId="0" fillId="0" borderId="0" xfId="0" applyNumberFormat="1"/>
    <xf numFmtId="168" fontId="0" fillId="0" borderId="1" xfId="1" applyNumberFormat="1" applyFont="1" applyBorder="1"/>
    <xf numFmtId="168" fontId="0" fillId="0" borderId="2" xfId="1" applyNumberFormat="1" applyFont="1" applyBorder="1"/>
    <xf numFmtId="168" fontId="0" fillId="0" borderId="3" xfId="1" applyNumberFormat="1" applyFont="1" applyBorder="1"/>
    <xf numFmtId="168" fontId="0" fillId="0" borderId="5" xfId="1" applyNumberFormat="1" applyFont="1" applyBorder="1"/>
    <xf numFmtId="168" fontId="0" fillId="0" borderId="7" xfId="1" applyNumberFormat="1" applyFont="1" applyBorder="1"/>
    <xf numFmtId="168" fontId="0" fillId="0" borderId="8" xfId="1" applyNumberFormat="1" applyFont="1" applyBorder="1"/>
    <xf numFmtId="164" fontId="2" fillId="0" borderId="2" xfId="0" applyNumberFormat="1" applyFont="1" applyBorder="1"/>
    <xf numFmtId="164" fontId="2" fillId="0" borderId="3" xfId="0" applyNumberFormat="1" applyFont="1" applyBorder="1"/>
    <xf numFmtId="164" fontId="2" fillId="0" borderId="4" xfId="0" applyNumberFormat="1" applyFont="1" applyBorder="1"/>
    <xf numFmtId="164" fontId="2" fillId="0" borderId="5" xfId="0" applyNumberFormat="1" applyFont="1" applyBorder="1"/>
    <xf numFmtId="164" fontId="2" fillId="0" borderId="1" xfId="0" applyNumberFormat="1" applyFont="1" applyBorder="1"/>
    <xf numFmtId="164" fontId="2" fillId="0" borderId="7" xfId="0" applyNumberFormat="1" applyFont="1" applyBorder="1"/>
    <xf numFmtId="164" fontId="2" fillId="0" borderId="8" xfId="0" applyNumberFormat="1" applyFont="1" applyBorder="1"/>
    <xf numFmtId="168" fontId="2" fillId="0" borderId="0" xfId="0" applyNumberFormat="1" applyFont="1"/>
    <xf numFmtId="168" fontId="2" fillId="0" borderId="0" xfId="1" applyNumberFormat="1" applyFont="1" applyAlignment="1">
      <alignment wrapText="1"/>
    </xf>
    <xf numFmtId="44" fontId="2" fillId="0" borderId="0" xfId="0" applyNumberFormat="1" applyFont="1"/>
    <xf numFmtId="168" fontId="2" fillId="0" borderId="0" xfId="1" applyNumberFormat="1" applyFont="1"/>
    <xf numFmtId="168" fontId="0" fillId="0" borderId="0" xfId="1" applyNumberFormat="1" applyFont="1" applyFill="1"/>
    <xf numFmtId="43" fontId="0" fillId="0" borderId="0" xfId="0" applyNumberFormat="1"/>
    <xf numFmtId="164" fontId="2" fillId="0" borderId="1" xfId="2" applyNumberFormat="1" applyFont="1" applyBorder="1"/>
    <xf numFmtId="164" fontId="0" fillId="0" borderId="10" xfId="2" applyNumberFormat="1" applyFont="1" applyFill="1" applyBorder="1"/>
    <xf numFmtId="164" fontId="0" fillId="0" borderId="13" xfId="2" applyNumberFormat="1" applyFont="1" applyFill="1" applyBorder="1"/>
    <xf numFmtId="164" fontId="0" fillId="0" borderId="14" xfId="2" applyNumberFormat="1" applyFont="1" applyFill="1" applyBorder="1"/>
    <xf numFmtId="164" fontId="0" fillId="0" borderId="15" xfId="2" applyNumberFormat="1" applyFont="1" applyFill="1" applyBorder="1"/>
    <xf numFmtId="164" fontId="0" fillId="0" borderId="16" xfId="2" applyNumberFormat="1" applyFont="1" applyFill="1" applyBorder="1"/>
    <xf numFmtId="164" fontId="0" fillId="0" borderId="17" xfId="2" applyNumberFormat="1" applyFont="1" applyFill="1" applyBorder="1"/>
    <xf numFmtId="164" fontId="0" fillId="0" borderId="18" xfId="2" applyNumberFormat="1" applyFont="1" applyFill="1" applyBorder="1"/>
    <xf numFmtId="164" fontId="0" fillId="0" borderId="19" xfId="2" applyNumberFormat="1" applyFont="1" applyFill="1" applyBorder="1"/>
    <xf numFmtId="164" fontId="0" fillId="0" borderId="20" xfId="2" applyNumberFormat="1" applyFont="1" applyFill="1" applyBorder="1"/>
    <xf numFmtId="164" fontId="0" fillId="0" borderId="18" xfId="0" applyNumberFormat="1" applyBorder="1"/>
    <xf numFmtId="164" fontId="0" fillId="0" borderId="19" xfId="0" applyNumberFormat="1" applyBorder="1"/>
    <xf numFmtId="164" fontId="0" fillId="0" borderId="20" xfId="0" applyNumberFormat="1" applyBorder="1"/>
    <xf numFmtId="164" fontId="0" fillId="0" borderId="15" xfId="0" applyNumberFormat="1" applyBorder="1"/>
    <xf numFmtId="164" fontId="0" fillId="0" borderId="16" xfId="0" applyNumberFormat="1" applyBorder="1"/>
    <xf numFmtId="164" fontId="0" fillId="0" borderId="17" xfId="0" applyNumberFormat="1" applyBorder="1"/>
    <xf numFmtId="0" fontId="0" fillId="0" borderId="10" xfId="0" applyBorder="1" applyAlignment="1">
      <alignment wrapText="1"/>
    </xf>
    <xf numFmtId="0" fontId="0" fillId="0" borderId="11" xfId="0" applyBorder="1" applyAlignment="1">
      <alignment wrapText="1"/>
    </xf>
    <xf numFmtId="164" fontId="0" fillId="0" borderId="11" xfId="2" applyNumberFormat="1" applyFont="1" applyBorder="1" applyAlignment="1">
      <alignment wrapText="1"/>
    </xf>
    <xf numFmtId="164" fontId="0" fillId="0" borderId="0" xfId="2" applyNumberFormat="1" applyFont="1" applyBorder="1" applyAlignment="1">
      <alignment wrapText="1"/>
    </xf>
    <xf numFmtId="0" fontId="5" fillId="0" borderId="0" xfId="0" applyFont="1" applyBorder="1"/>
    <xf numFmtId="43" fontId="0" fillId="0" borderId="0" xfId="1" applyFont="1" applyFill="1" applyBorder="1"/>
    <xf numFmtId="164" fontId="0" fillId="4" borderId="0" xfId="2" applyNumberFormat="1" applyFont="1" applyFill="1" applyBorder="1"/>
    <xf numFmtId="0" fontId="2" fillId="0" borderId="0" xfId="0" applyFont="1" applyBorder="1" applyAlignment="1">
      <alignment wrapText="1"/>
    </xf>
    <xf numFmtId="0" fontId="6" fillId="0" borderId="0" xfId="0" applyFont="1" applyBorder="1" applyAlignment="1">
      <alignment wrapText="1"/>
    </xf>
    <xf numFmtId="0" fontId="0" fillId="0" borderId="14" xfId="0" applyBorder="1"/>
    <xf numFmtId="0" fontId="0" fillId="0" borderId="0" xfId="0" applyFont="1" applyBorder="1"/>
    <xf numFmtId="0" fontId="0" fillId="0" borderId="16" xfId="0" applyBorder="1"/>
    <xf numFmtId="164" fontId="2" fillId="0" borderId="8" xfId="2" applyNumberFormat="1" applyFont="1" applyBorder="1"/>
    <xf numFmtId="164" fontId="2" fillId="0" borderId="2" xfId="2" applyNumberFormat="1" applyFont="1" applyBorder="1"/>
    <xf numFmtId="164" fontId="2" fillId="0" borderId="3" xfId="2" applyNumberFormat="1" applyFont="1" applyBorder="1"/>
    <xf numFmtId="164" fontId="2" fillId="0" borderId="5" xfId="2" applyNumberFormat="1" applyFont="1" applyBorder="1"/>
    <xf numFmtId="164" fontId="2" fillId="0" borderId="7" xfId="2" applyNumberFormat="1" applyFont="1" applyBorder="1"/>
    <xf numFmtId="164" fontId="0" fillId="0" borderId="0" xfId="0" applyNumberFormat="1"/>
    <xf numFmtId="0" fontId="0" fillId="0" borderId="16" xfId="0" applyFill="1" applyBorder="1"/>
    <xf numFmtId="164" fontId="2" fillId="0" borderId="16" xfId="0" applyNumberFormat="1" applyFont="1" applyBorder="1"/>
    <xf numFmtId="44" fontId="2" fillId="0" borderId="16" xfId="0" applyNumberFormat="1" applyFont="1" applyBorder="1"/>
    <xf numFmtId="0" fontId="0" fillId="0" borderId="12" xfId="0" applyBorder="1"/>
    <xf numFmtId="44" fontId="0" fillId="0" borderId="13" xfId="2" applyFont="1" applyBorder="1"/>
    <xf numFmtId="44" fontId="0" fillId="4" borderId="0" xfId="2" applyFont="1" applyFill="1" applyBorder="1"/>
    <xf numFmtId="44" fontId="0" fillId="0" borderId="0" xfId="2" applyFont="1" applyBorder="1"/>
    <xf numFmtId="44" fontId="0" fillId="0" borderId="14" xfId="2" applyFont="1" applyBorder="1"/>
    <xf numFmtId="44" fontId="0" fillId="0" borderId="15" xfId="2" applyFont="1" applyBorder="1"/>
    <xf numFmtId="44" fontId="0" fillId="0" borderId="16" xfId="2" applyFont="1" applyBorder="1"/>
    <xf numFmtId="44" fontId="0" fillId="0" borderId="17" xfId="2" applyFont="1" applyBorder="1"/>
    <xf numFmtId="44" fontId="0" fillId="0" borderId="13" xfId="0" applyNumberFormat="1" applyBorder="1"/>
    <xf numFmtId="44" fontId="0" fillId="0" borderId="0" xfId="0" applyNumberFormat="1" applyBorder="1"/>
    <xf numFmtId="168" fontId="2" fillId="0" borderId="15" xfId="1" applyNumberFormat="1" applyFont="1" applyFill="1" applyBorder="1"/>
    <xf numFmtId="168" fontId="2" fillId="0" borderId="16" xfId="1" applyNumberFormat="1" applyFont="1" applyFill="1" applyBorder="1"/>
    <xf numFmtId="168" fontId="2" fillId="0" borderId="17" xfId="1" applyNumberFormat="1" applyFont="1" applyFill="1" applyBorder="1"/>
    <xf numFmtId="43" fontId="2" fillId="0" borderId="18" xfId="1" applyFont="1" applyFill="1" applyBorder="1"/>
    <xf numFmtId="0" fontId="0" fillId="3" borderId="19" xfId="0" applyFill="1" applyBorder="1" applyAlignment="1">
      <alignment wrapText="1"/>
    </xf>
    <xf numFmtId="43" fontId="2" fillId="3" borderId="18" xfId="1" applyFont="1" applyFill="1" applyBorder="1"/>
    <xf numFmtId="0" fontId="2" fillId="3" borderId="18" xfId="0" applyFont="1" applyFill="1" applyBorder="1" applyAlignment="1">
      <alignment wrapText="1"/>
    </xf>
    <xf numFmtId="0" fontId="0" fillId="0" borderId="0" xfId="0" applyBorder="1" applyAlignment="1"/>
    <xf numFmtId="0" fontId="0" fillId="5" borderId="0" xfId="0" applyFill="1"/>
    <xf numFmtId="0" fontId="8" fillId="5" borderId="0" xfId="0" applyFont="1" applyFill="1"/>
    <xf numFmtId="164" fontId="0" fillId="6" borderId="23" xfId="2" applyNumberFormat="1" applyFont="1" applyFill="1" applyBorder="1"/>
    <xf numFmtId="164" fontId="0" fillId="6" borderId="1" xfId="2" applyNumberFormat="1" applyFont="1" applyFill="1" applyBorder="1"/>
    <xf numFmtId="43" fontId="0" fillId="6" borderId="1" xfId="1" applyFont="1" applyFill="1" applyBorder="1"/>
    <xf numFmtId="0" fontId="5" fillId="7" borderId="1" xfId="0" applyFont="1" applyFill="1" applyBorder="1" applyAlignment="1">
      <alignment horizontal="center" wrapText="1"/>
    </xf>
    <xf numFmtId="0" fontId="0" fillId="7" borderId="30" xfId="0" applyFill="1" applyBorder="1"/>
    <xf numFmtId="0" fontId="0" fillId="7" borderId="21" xfId="0" applyFill="1" applyBorder="1"/>
    <xf numFmtId="164" fontId="5" fillId="7" borderId="24" xfId="2" applyNumberFormat="1" applyFont="1" applyFill="1" applyBorder="1" applyAlignment="1">
      <alignment horizontal="center"/>
    </xf>
    <xf numFmtId="164" fontId="0" fillId="6" borderId="31" xfId="0" applyNumberFormat="1" applyFill="1" applyBorder="1"/>
    <xf numFmtId="164" fontId="0" fillId="6" borderId="31" xfId="2" applyNumberFormat="1" applyFont="1" applyFill="1" applyBorder="1"/>
    <xf numFmtId="164" fontId="5" fillId="7" borderId="1" xfId="2" applyNumberFormat="1" applyFont="1" applyFill="1" applyBorder="1" applyAlignment="1">
      <alignment horizontal="center"/>
    </xf>
    <xf numFmtId="164" fontId="0" fillId="6" borderId="30" xfId="2" applyNumberFormat="1" applyFont="1" applyFill="1" applyBorder="1"/>
    <xf numFmtId="164" fontId="0" fillId="6" borderId="21" xfId="2" applyNumberFormat="1" applyFont="1" applyFill="1" applyBorder="1"/>
    <xf numFmtId="0" fontId="0" fillId="7" borderId="1" xfId="0" applyFill="1" applyBorder="1"/>
    <xf numFmtId="164" fontId="0" fillId="0" borderId="32" xfId="2" applyNumberFormat="1" applyFont="1" applyFill="1" applyBorder="1"/>
    <xf numFmtId="164" fontId="0" fillId="0" borderId="30" xfId="2" applyNumberFormat="1" applyFont="1" applyFill="1" applyBorder="1"/>
    <xf numFmtId="164" fontId="0" fillId="0" borderId="21" xfId="2" applyNumberFormat="1" applyFont="1" applyFill="1" applyBorder="1"/>
    <xf numFmtId="9" fontId="0" fillId="6" borderId="1" xfId="3" applyFont="1" applyFill="1" applyBorder="1"/>
    <xf numFmtId="3" fontId="0" fillId="6" borderId="1" xfId="2" applyNumberFormat="1" applyFont="1" applyFill="1" applyBorder="1"/>
    <xf numFmtId="3" fontId="0" fillId="6" borderId="1" xfId="3" applyNumberFormat="1" applyFont="1" applyFill="1" applyBorder="1"/>
    <xf numFmtId="164" fontId="0" fillId="6" borderId="23" xfId="0" applyNumberFormat="1" applyFill="1" applyBorder="1"/>
    <xf numFmtId="167" fontId="0" fillId="6" borderId="30" xfId="2" applyNumberFormat="1" applyFont="1" applyFill="1" applyBorder="1"/>
    <xf numFmtId="167" fontId="0" fillId="6" borderId="21" xfId="2" applyNumberFormat="1" applyFont="1" applyFill="1" applyBorder="1"/>
    <xf numFmtId="0" fontId="0" fillId="7" borderId="1" xfId="0" applyFill="1" applyBorder="1" applyAlignment="1">
      <alignment vertical="center" wrapText="1"/>
    </xf>
    <xf numFmtId="3" fontId="0" fillId="6" borderId="1" xfId="2" applyNumberFormat="1" applyFont="1" applyFill="1" applyBorder="1" applyAlignment="1">
      <alignment vertical="center"/>
    </xf>
    <xf numFmtId="3" fontId="0" fillId="6" borderId="1" xfId="3" applyNumberFormat="1" applyFont="1" applyFill="1" applyBorder="1" applyAlignment="1">
      <alignment vertical="center"/>
    </xf>
    <xf numFmtId="169" fontId="0" fillId="6" borderId="1" xfId="3" applyNumberFormat="1" applyFont="1" applyFill="1" applyBorder="1" applyAlignment="1">
      <alignment vertical="center"/>
    </xf>
    <xf numFmtId="170" fontId="0" fillId="6" borderId="1" xfId="2" applyNumberFormat="1" applyFont="1" applyFill="1" applyBorder="1" applyAlignment="1">
      <alignment vertical="center"/>
    </xf>
    <xf numFmtId="170" fontId="0" fillId="6" borderId="1" xfId="3" applyNumberFormat="1" applyFont="1" applyFill="1" applyBorder="1" applyAlignment="1">
      <alignment vertical="center"/>
    </xf>
    <xf numFmtId="9" fontId="0" fillId="6" borderId="1" xfId="3" applyFont="1" applyFill="1" applyBorder="1" applyAlignment="1">
      <alignment vertical="center"/>
    </xf>
    <xf numFmtId="164" fontId="0" fillId="0" borderId="1" xfId="2" applyNumberFormat="1" applyFont="1" applyFill="1" applyBorder="1"/>
    <xf numFmtId="164" fontId="9" fillId="0" borderId="31" xfId="0" applyNumberFormat="1" applyFont="1" applyFill="1" applyBorder="1"/>
    <xf numFmtId="164" fontId="9" fillId="0" borderId="31" xfId="2" applyNumberFormat="1" applyFont="1" applyFill="1" applyBorder="1"/>
    <xf numFmtId="164" fontId="9" fillId="0" borderId="23" xfId="2" applyNumberFormat="1" applyFont="1" applyFill="1" applyBorder="1"/>
    <xf numFmtId="3" fontId="0" fillId="0" borderId="1" xfId="3" applyNumberFormat="1" applyFont="1" applyFill="1" applyBorder="1"/>
    <xf numFmtId="164" fontId="6" fillId="0" borderId="1" xfId="2" applyNumberFormat="1" applyFont="1" applyFill="1" applyBorder="1"/>
    <xf numFmtId="165" fontId="6" fillId="0" borderId="1" xfId="1" applyNumberFormat="1" applyFont="1" applyFill="1" applyBorder="1"/>
    <xf numFmtId="3" fontId="6" fillId="0" borderId="1" xfId="2" applyNumberFormat="1" applyFont="1" applyFill="1" applyBorder="1"/>
    <xf numFmtId="164" fontId="6" fillId="0" borderId="1" xfId="0" applyNumberFormat="1" applyFont="1" applyFill="1" applyBorder="1" applyAlignment="1">
      <alignment horizontal="center"/>
    </xf>
    <xf numFmtId="0" fontId="0" fillId="0" borderId="30" xfId="0" applyFill="1" applyBorder="1"/>
    <xf numFmtId="0" fontId="0" fillId="0" borderId="33" xfId="0" applyBorder="1"/>
    <xf numFmtId="0" fontId="0" fillId="0" borderId="34" xfId="0" applyBorder="1"/>
    <xf numFmtId="168" fontId="0" fillId="3" borderId="18" xfId="1" applyNumberFormat="1" applyFont="1" applyFill="1" applyBorder="1"/>
    <xf numFmtId="168" fontId="0" fillId="3" borderId="19" xfId="1" applyNumberFormat="1" applyFont="1" applyFill="1" applyBorder="1"/>
    <xf numFmtId="168" fontId="0" fillId="3" borderId="20" xfId="1" applyNumberFormat="1" applyFont="1" applyFill="1" applyBorder="1"/>
    <xf numFmtId="1" fontId="0" fillId="6" borderId="1" xfId="3" applyNumberFormat="1" applyFont="1" applyFill="1" applyBorder="1"/>
    <xf numFmtId="0" fontId="0" fillId="0" borderId="0" xfId="0" applyFill="1" applyBorder="1" applyAlignment="1"/>
    <xf numFmtId="0" fontId="0" fillId="0" borderId="1" xfId="0" applyBorder="1"/>
    <xf numFmtId="0" fontId="0" fillId="7" borderId="32" xfId="0" applyFill="1" applyBorder="1"/>
    <xf numFmtId="1" fontId="0" fillId="6" borderId="30" xfId="3" applyNumberFormat="1" applyFont="1" applyFill="1" applyBorder="1"/>
    <xf numFmtId="0" fontId="5" fillId="7" borderId="1" xfId="0" applyFont="1" applyFill="1" applyBorder="1"/>
    <xf numFmtId="0" fontId="5" fillId="7" borderId="32" xfId="0" applyFont="1" applyFill="1" applyBorder="1"/>
    <xf numFmtId="0" fontId="0" fillId="7" borderId="35" xfId="0" applyFill="1" applyBorder="1"/>
    <xf numFmtId="170" fontId="0" fillId="6" borderId="32" xfId="3" applyNumberFormat="1" applyFont="1" applyFill="1" applyBorder="1"/>
    <xf numFmtId="170" fontId="0" fillId="6" borderId="30" xfId="3" applyNumberFormat="1" applyFont="1" applyFill="1" applyBorder="1"/>
    <xf numFmtId="0" fontId="0" fillId="7" borderId="36" xfId="0" applyFill="1" applyBorder="1"/>
    <xf numFmtId="170" fontId="0" fillId="6" borderId="21" xfId="3" applyNumberFormat="1" applyFont="1" applyFill="1" applyBorder="1"/>
    <xf numFmtId="0" fontId="0" fillId="8" borderId="1" xfId="0" applyFill="1" applyBorder="1" applyAlignment="1"/>
    <xf numFmtId="0" fontId="0" fillId="7" borderId="35" xfId="0" applyFill="1" applyBorder="1" applyAlignment="1">
      <alignment wrapText="1"/>
    </xf>
    <xf numFmtId="1" fontId="0" fillId="6" borderId="32" xfId="3" applyNumberFormat="1" applyFont="1" applyFill="1" applyBorder="1"/>
    <xf numFmtId="1" fontId="0" fillId="6" borderId="21" xfId="3" applyNumberFormat="1" applyFont="1" applyFill="1" applyBorder="1"/>
    <xf numFmtId="0" fontId="5" fillId="7" borderId="32" xfId="0" applyFont="1" applyFill="1" applyBorder="1" applyAlignment="1">
      <alignment vertical="center"/>
    </xf>
    <xf numFmtId="0" fontId="0" fillId="7" borderId="32" xfId="0" applyFont="1" applyFill="1" applyBorder="1" applyAlignment="1">
      <alignment vertical="center"/>
    </xf>
    <xf numFmtId="170" fontId="0" fillId="0" borderId="38" xfId="3" applyNumberFormat="1" applyFont="1" applyFill="1" applyBorder="1"/>
    <xf numFmtId="170" fontId="0" fillId="0" borderId="32" xfId="3" applyNumberFormat="1" applyFont="1" applyFill="1" applyBorder="1"/>
    <xf numFmtId="0" fontId="0" fillId="7" borderId="30" xfId="0" applyFont="1" applyFill="1" applyBorder="1" applyAlignment="1">
      <alignment vertical="center"/>
    </xf>
    <xf numFmtId="170" fontId="0" fillId="0" borderId="30" xfId="3" applyNumberFormat="1" applyFont="1" applyFill="1" applyBorder="1"/>
    <xf numFmtId="170" fontId="0" fillId="6" borderId="31" xfId="3" applyNumberFormat="1" applyFont="1" applyFill="1" applyBorder="1"/>
    <xf numFmtId="0" fontId="0" fillId="7" borderId="21" xfId="0" applyFont="1" applyFill="1" applyBorder="1" applyAlignment="1">
      <alignment vertical="center"/>
    </xf>
    <xf numFmtId="170" fontId="0" fillId="6" borderId="38" xfId="3" applyNumberFormat="1" applyFont="1" applyFill="1" applyBorder="1"/>
    <xf numFmtId="0" fontId="0" fillId="8" borderId="25" xfId="0" applyFill="1" applyBorder="1" applyAlignment="1">
      <alignment horizontal="left"/>
    </xf>
    <xf numFmtId="0" fontId="0" fillId="8" borderId="33" xfId="0" applyFill="1" applyBorder="1" applyAlignment="1">
      <alignment horizontal="left"/>
    </xf>
    <xf numFmtId="0" fontId="0" fillId="8" borderId="24" xfId="0" applyFill="1" applyBorder="1" applyAlignment="1">
      <alignment horizontal="left"/>
    </xf>
    <xf numFmtId="170" fontId="0" fillId="6" borderId="23" xfId="3" applyNumberFormat="1" applyFont="1" applyFill="1" applyBorder="1"/>
    <xf numFmtId="9" fontId="0" fillId="6" borderId="32" xfId="3" applyFont="1" applyFill="1" applyBorder="1"/>
    <xf numFmtId="9" fontId="0" fillId="6" borderId="30" xfId="3" applyFont="1" applyFill="1" applyBorder="1"/>
    <xf numFmtId="0" fontId="0" fillId="8" borderId="25" xfId="0" applyFill="1" applyBorder="1" applyAlignment="1">
      <alignment horizontal="center"/>
    </xf>
    <xf numFmtId="0" fontId="0" fillId="8" borderId="33" xfId="0" applyFill="1" applyBorder="1" applyAlignment="1">
      <alignment horizontal="center"/>
    </xf>
    <xf numFmtId="0" fontId="0" fillId="8" borderId="24" xfId="0" applyFill="1" applyBorder="1" applyAlignment="1">
      <alignment horizontal="center"/>
    </xf>
    <xf numFmtId="9" fontId="0" fillId="0" borderId="21" xfId="3" applyFont="1" applyFill="1" applyBorder="1"/>
    <xf numFmtId="0" fontId="0" fillId="7" borderId="36" xfId="0" applyFill="1" applyBorder="1" applyAlignment="1">
      <alignment wrapText="1"/>
    </xf>
    <xf numFmtId="0" fontId="0" fillId="7" borderId="32" xfId="0" applyFont="1" applyFill="1" applyBorder="1" applyAlignment="1">
      <alignment vertical="center" wrapText="1"/>
    </xf>
    <xf numFmtId="0" fontId="0" fillId="7" borderId="30" xfId="0" applyFont="1" applyFill="1" applyBorder="1" applyAlignment="1">
      <alignment vertical="center" wrapText="1"/>
    </xf>
    <xf numFmtId="170" fontId="0" fillId="0" borderId="31" xfId="3" applyNumberFormat="1" applyFont="1" applyFill="1" applyBorder="1"/>
    <xf numFmtId="0" fontId="0" fillId="7" borderId="21" xfId="0" applyFont="1" applyFill="1" applyBorder="1" applyAlignment="1">
      <alignment vertical="center" wrapText="1"/>
    </xf>
    <xf numFmtId="0" fontId="0" fillId="7" borderId="1" xfId="0" applyFont="1" applyFill="1" applyBorder="1" applyAlignment="1">
      <alignment vertical="center" wrapText="1"/>
    </xf>
    <xf numFmtId="0" fontId="5" fillId="7" borderId="32" xfId="0" applyFont="1" applyFill="1" applyBorder="1" applyAlignment="1">
      <alignment vertical="center" wrapText="1"/>
    </xf>
    <xf numFmtId="0" fontId="0" fillId="7" borderId="1" xfId="0" applyFill="1" applyBorder="1" applyAlignment="1">
      <alignment wrapText="1"/>
    </xf>
    <xf numFmtId="166" fontId="0" fillId="6" borderId="1" xfId="3" applyNumberFormat="1" applyFont="1" applyFill="1" applyBorder="1"/>
    <xf numFmtId="0" fontId="0" fillId="6" borderId="1" xfId="3" applyNumberFormat="1" applyFont="1" applyFill="1" applyBorder="1"/>
    <xf numFmtId="0" fontId="0" fillId="7" borderId="37" xfId="0" applyFont="1" applyFill="1" applyBorder="1" applyAlignment="1">
      <alignment vertical="center"/>
    </xf>
    <xf numFmtId="164" fontId="0" fillId="6" borderId="34" xfId="2" applyNumberFormat="1" applyFont="1" applyFill="1" applyBorder="1"/>
    <xf numFmtId="164" fontId="0" fillId="6" borderId="38" xfId="2" applyNumberFormat="1" applyFont="1" applyFill="1" applyBorder="1"/>
    <xf numFmtId="0" fontId="0" fillId="7" borderId="35" xfId="0" applyFont="1" applyFill="1" applyBorder="1" applyAlignment="1">
      <alignment vertical="center"/>
    </xf>
    <xf numFmtId="164" fontId="0" fillId="6" borderId="0" xfId="2" applyNumberFormat="1" applyFont="1" applyFill="1" applyBorder="1"/>
    <xf numFmtId="0" fontId="0" fillId="7" borderId="36" xfId="0" applyFont="1" applyFill="1" applyBorder="1" applyAlignment="1">
      <alignment vertical="center"/>
    </xf>
    <xf numFmtId="9" fontId="0" fillId="6" borderId="39" xfId="3" applyNumberFormat="1" applyFont="1" applyFill="1" applyBorder="1"/>
    <xf numFmtId="9" fontId="0" fillId="6" borderId="23" xfId="3" applyNumberFormat="1" applyFont="1" applyFill="1" applyBorder="1"/>
    <xf numFmtId="0" fontId="0" fillId="7" borderId="1" xfId="0" applyFont="1" applyFill="1" applyBorder="1" applyAlignment="1">
      <alignment vertical="center"/>
    </xf>
    <xf numFmtId="0" fontId="5" fillId="7" borderId="1" xfId="0" applyFont="1" applyFill="1" applyBorder="1" applyAlignment="1">
      <alignment vertical="center" wrapText="1"/>
    </xf>
    <xf numFmtId="0" fontId="5" fillId="7" borderId="1" xfId="0" applyFont="1" applyFill="1" applyBorder="1" applyAlignment="1">
      <alignment vertical="center"/>
    </xf>
    <xf numFmtId="0" fontId="0" fillId="8" borderId="1" xfId="0" applyFill="1" applyBorder="1" applyAlignment="1">
      <alignment horizontal="left"/>
    </xf>
    <xf numFmtId="0" fontId="0" fillId="7" borderId="25" xfId="0" applyFill="1" applyBorder="1" applyAlignment="1">
      <alignment wrapText="1"/>
    </xf>
    <xf numFmtId="0" fontId="0" fillId="6" borderId="34" xfId="2" applyNumberFormat="1" applyFont="1" applyFill="1" applyBorder="1"/>
    <xf numFmtId="0" fontId="0" fillId="6" borderId="0" xfId="2" applyNumberFormat="1" applyFont="1" applyFill="1" applyBorder="1"/>
    <xf numFmtId="164" fontId="0" fillId="6" borderId="36" xfId="2" applyNumberFormat="1" applyFont="1" applyFill="1" applyBorder="1"/>
    <xf numFmtId="164" fontId="0" fillId="6" borderId="39" xfId="2" applyNumberFormat="1" applyFont="1" applyFill="1" applyBorder="1"/>
    <xf numFmtId="0" fontId="5" fillId="7" borderId="32" xfId="0" applyFont="1" applyFill="1" applyBorder="1" applyAlignment="1">
      <alignment wrapText="1"/>
    </xf>
    <xf numFmtId="0" fontId="0" fillId="7" borderId="32" xfId="0" applyFill="1" applyBorder="1" applyAlignment="1">
      <alignment wrapText="1"/>
    </xf>
    <xf numFmtId="0" fontId="0" fillId="6" borderId="37" xfId="2" applyNumberFormat="1" applyFont="1" applyFill="1" applyBorder="1"/>
    <xf numFmtId="0" fontId="0" fillId="6" borderId="38" xfId="2" applyNumberFormat="1" applyFont="1" applyFill="1" applyBorder="1"/>
    <xf numFmtId="0" fontId="0" fillId="7" borderId="30" xfId="0" applyFill="1" applyBorder="1" applyAlignment="1">
      <alignment wrapText="1"/>
    </xf>
    <xf numFmtId="0" fontId="0" fillId="6" borderId="35" xfId="2" applyNumberFormat="1" applyFont="1" applyFill="1" applyBorder="1"/>
    <xf numFmtId="0" fontId="0" fillId="6" borderId="31" xfId="2" applyNumberFormat="1" applyFont="1" applyFill="1" applyBorder="1"/>
    <xf numFmtId="0" fontId="0" fillId="7" borderId="21" xfId="0" applyFill="1" applyBorder="1" applyAlignment="1">
      <alignment wrapText="1"/>
    </xf>
    <xf numFmtId="9" fontId="0" fillId="6" borderId="36" xfId="3" applyNumberFormat="1" applyFont="1" applyFill="1" applyBorder="1"/>
    <xf numFmtId="164" fontId="0" fillId="6" borderId="18" xfId="2" applyNumberFormat="1" applyFont="1" applyFill="1" applyBorder="1"/>
    <xf numFmtId="164" fontId="0" fillId="6" borderId="19" xfId="2" applyNumberFormat="1" applyFont="1" applyFill="1" applyBorder="1"/>
    <xf numFmtId="164" fontId="0" fillId="6" borderId="20" xfId="2" applyNumberFormat="1" applyFont="1" applyFill="1" applyBorder="1"/>
    <xf numFmtId="0" fontId="0" fillId="7" borderId="35" xfId="0" applyFont="1" applyFill="1" applyBorder="1" applyAlignment="1">
      <alignment vertical="center" wrapText="1"/>
    </xf>
    <xf numFmtId="2" fontId="0" fillId="3" borderId="18" xfId="1" applyNumberFormat="1" applyFont="1" applyFill="1" applyBorder="1"/>
    <xf numFmtId="165" fontId="0" fillId="6" borderId="30" xfId="1" applyNumberFormat="1" applyFont="1" applyFill="1" applyBorder="1"/>
    <xf numFmtId="0" fontId="2" fillId="2" borderId="0" xfId="0" applyFont="1" applyFill="1" applyBorder="1"/>
    <xf numFmtId="0" fontId="0" fillId="2" borderId="40" xfId="0" applyFill="1" applyBorder="1"/>
    <xf numFmtId="0" fontId="0" fillId="2" borderId="41" xfId="0" applyFill="1" applyBorder="1"/>
    <xf numFmtId="0" fontId="0" fillId="2" borderId="42" xfId="0" applyFill="1" applyBorder="1"/>
    <xf numFmtId="0" fontId="0" fillId="4" borderId="0" xfId="0" applyFill="1" applyBorder="1" applyAlignment="1">
      <alignment wrapText="1"/>
    </xf>
    <xf numFmtId="0" fontId="0" fillId="4" borderId="0" xfId="0" applyFill="1" applyBorder="1"/>
    <xf numFmtId="0" fontId="0" fillId="3" borderId="0" xfId="0" applyFill="1"/>
    <xf numFmtId="0" fontId="0" fillId="8" borderId="0" xfId="0" applyFill="1" applyBorder="1" applyAlignment="1">
      <alignment horizontal="left"/>
    </xf>
    <xf numFmtId="168" fontId="0" fillId="4" borderId="0" xfId="1" applyNumberFormat="1" applyFont="1" applyFill="1"/>
    <xf numFmtId="164" fontId="0" fillId="0" borderId="27" xfId="2" applyNumberFormat="1" applyFont="1" applyFill="1" applyBorder="1"/>
    <xf numFmtId="164" fontId="0" fillId="0" borderId="28" xfId="2" applyNumberFormat="1" applyFont="1" applyFill="1" applyBorder="1"/>
    <xf numFmtId="164" fontId="0" fillId="0" borderId="29" xfId="2" applyNumberFormat="1" applyFont="1" applyFill="1" applyBorder="1"/>
    <xf numFmtId="15" fontId="0" fillId="0" borderId="0" xfId="0" applyNumberFormat="1"/>
    <xf numFmtId="0" fontId="0" fillId="8" borderId="25" xfId="0" applyFill="1" applyBorder="1" applyAlignment="1"/>
    <xf numFmtId="0" fontId="0" fillId="8" borderId="33" xfId="0" applyFill="1" applyBorder="1" applyAlignment="1"/>
    <xf numFmtId="0" fontId="0" fillId="8" borderId="24" xfId="0" applyFill="1" applyBorder="1" applyAlignment="1"/>
    <xf numFmtId="0" fontId="0" fillId="8" borderId="33" xfId="0" applyFill="1" applyBorder="1" applyAlignment="1">
      <alignment horizontal="left"/>
    </xf>
    <xf numFmtId="0" fontId="0" fillId="8" borderId="24" xfId="0" applyFill="1" applyBorder="1" applyAlignment="1">
      <alignment horizontal="left"/>
    </xf>
    <xf numFmtId="0" fontId="0" fillId="8" borderId="25" xfId="0" applyFill="1" applyBorder="1" applyAlignment="1">
      <alignment horizontal="left"/>
    </xf>
    <xf numFmtId="0" fontId="0" fillId="8" borderId="1" xfId="0" applyFill="1" applyBorder="1" applyAlignment="1">
      <alignment horizontal="left"/>
    </xf>
    <xf numFmtId="0" fontId="0" fillId="3" borderId="10" xfId="0" applyFill="1" applyBorder="1"/>
    <xf numFmtId="0" fontId="0" fillId="2" borderId="12" xfId="0" applyFill="1" applyBorder="1"/>
    <xf numFmtId="0" fontId="0" fillId="3" borderId="13" xfId="0" applyFill="1" applyBorder="1"/>
    <xf numFmtId="0" fontId="0" fillId="2" borderId="14" xfId="0" applyFill="1" applyBorder="1"/>
    <xf numFmtId="0" fontId="0" fillId="3" borderId="15" xfId="0" applyFill="1" applyBorder="1"/>
    <xf numFmtId="0" fontId="0" fillId="2" borderId="17" xfId="0" applyFill="1" applyBorder="1"/>
    <xf numFmtId="43" fontId="0" fillId="0" borderId="1" xfId="1" applyFont="1" applyFill="1" applyBorder="1"/>
    <xf numFmtId="171" fontId="0" fillId="0" borderId="0" xfId="0" applyNumberFormat="1"/>
    <xf numFmtId="0" fontId="0" fillId="8" borderId="25" xfId="0" applyFill="1" applyBorder="1" applyAlignment="1">
      <alignment horizontal="left"/>
    </xf>
    <xf numFmtId="0" fontId="0" fillId="8" borderId="33" xfId="0" applyFill="1" applyBorder="1" applyAlignment="1">
      <alignment horizontal="left"/>
    </xf>
    <xf numFmtId="0" fontId="0" fillId="8" borderId="24" xfId="0" applyFill="1" applyBorder="1" applyAlignment="1">
      <alignment horizontal="left"/>
    </xf>
    <xf numFmtId="0" fontId="0" fillId="8" borderId="0" xfId="0" applyFill="1" applyBorder="1" applyAlignment="1">
      <alignment horizontal="left"/>
    </xf>
    <xf numFmtId="0" fontId="0" fillId="8" borderId="31" xfId="0" applyFill="1" applyBorder="1" applyAlignment="1">
      <alignment horizontal="left"/>
    </xf>
    <xf numFmtId="16" fontId="0" fillId="0" borderId="0" xfId="0" applyNumberFormat="1"/>
    <xf numFmtId="0" fontId="0" fillId="7" borderId="36" xfId="0" applyFont="1" applyFill="1" applyBorder="1" applyAlignment="1">
      <alignment vertical="center" wrapText="1"/>
    </xf>
    <xf numFmtId="0" fontId="2" fillId="0" borderId="0" xfId="0" applyFont="1" applyFill="1"/>
    <xf numFmtId="44" fontId="6" fillId="0" borderId="1" xfId="2" applyNumberFormat="1" applyFont="1" applyFill="1" applyBorder="1"/>
    <xf numFmtId="169" fontId="0" fillId="6" borderId="38" xfId="3" applyNumberFormat="1" applyFont="1" applyFill="1" applyBorder="1"/>
    <xf numFmtId="169" fontId="0" fillId="6" borderId="31" xfId="3" applyNumberFormat="1" applyFont="1" applyFill="1" applyBorder="1"/>
    <xf numFmtId="164" fontId="0" fillId="0" borderId="2" xfId="2" applyNumberFormat="1" applyFont="1" applyFill="1" applyBorder="1"/>
    <xf numFmtId="164" fontId="0" fillId="0" borderId="3" xfId="2" applyNumberFormat="1" applyFont="1" applyFill="1" applyBorder="1"/>
    <xf numFmtId="164" fontId="0" fillId="0" borderId="4" xfId="2" applyNumberFormat="1" applyFont="1" applyFill="1" applyBorder="1"/>
    <xf numFmtId="164" fontId="0" fillId="0" borderId="5" xfId="2" applyNumberFormat="1" applyFont="1" applyFill="1" applyBorder="1"/>
    <xf numFmtId="164" fontId="0" fillId="0" borderId="6" xfId="2" applyNumberFormat="1" applyFont="1" applyFill="1" applyBorder="1"/>
    <xf numFmtId="164" fontId="0" fillId="0" borderId="7" xfId="2" applyNumberFormat="1" applyFont="1" applyFill="1" applyBorder="1"/>
    <xf numFmtId="164" fontId="0" fillId="0" borderId="8" xfId="2" applyNumberFormat="1" applyFont="1" applyFill="1" applyBorder="1"/>
    <xf numFmtId="164" fontId="0" fillId="0" borderId="9" xfId="2" applyNumberFormat="1" applyFont="1" applyFill="1" applyBorder="1"/>
    <xf numFmtId="0" fontId="0" fillId="0" borderId="0" xfId="0" applyFont="1" applyFill="1" applyBorder="1"/>
    <xf numFmtId="0" fontId="0" fillId="0" borderId="0" xfId="0" applyFill="1" applyBorder="1" applyAlignment="1">
      <alignment wrapText="1"/>
    </xf>
    <xf numFmtId="0" fontId="6" fillId="0" borderId="0" xfId="0" applyFont="1" applyFill="1" applyBorder="1" applyAlignment="1">
      <alignment wrapText="1"/>
    </xf>
    <xf numFmtId="168" fontId="5" fillId="0" borderId="0" xfId="0" applyNumberFormat="1" applyFont="1"/>
    <xf numFmtId="0" fontId="0" fillId="2" borderId="0" xfId="0" applyFill="1" applyAlignment="1">
      <alignment wrapText="1"/>
    </xf>
    <xf numFmtId="0" fontId="0" fillId="2" borderId="0" xfId="0" applyFill="1" applyAlignment="1"/>
    <xf numFmtId="0" fontId="0" fillId="0" borderId="0" xfId="0" applyAlignment="1"/>
    <xf numFmtId="0" fontId="0" fillId="9" borderId="0" xfId="0" applyFill="1"/>
    <xf numFmtId="0" fontId="0" fillId="9" borderId="0" xfId="0" applyFill="1" applyAlignment="1"/>
    <xf numFmtId="14" fontId="0" fillId="0" borderId="0" xfId="0" applyNumberFormat="1"/>
    <xf numFmtId="172" fontId="0" fillId="0" borderId="0" xfId="0" applyNumberFormat="1"/>
    <xf numFmtId="0" fontId="2" fillId="0" borderId="0" xfId="0" applyFont="1" applyAlignment="1"/>
    <xf numFmtId="168" fontId="0" fillId="0" borderId="4" xfId="1" applyNumberFormat="1" applyFont="1" applyBorder="1"/>
    <xf numFmtId="168" fontId="0" fillId="0" borderId="6" xfId="1" applyNumberFormat="1" applyFont="1" applyBorder="1"/>
    <xf numFmtId="0" fontId="0" fillId="3" borderId="0" xfId="0" applyFill="1" applyAlignment="1"/>
    <xf numFmtId="172" fontId="0" fillId="0" borderId="10" xfId="0" applyNumberFormat="1" applyBorder="1"/>
    <xf numFmtId="172" fontId="0" fillId="0" borderId="11" xfId="0" applyNumberFormat="1" applyBorder="1"/>
    <xf numFmtId="168" fontId="0" fillId="0" borderId="12" xfId="1" applyNumberFormat="1" applyFont="1" applyBorder="1"/>
    <xf numFmtId="172" fontId="0" fillId="0" borderId="13" xfId="0" applyNumberFormat="1" applyBorder="1"/>
    <xf numFmtId="172" fontId="0" fillId="0" borderId="0" xfId="0" applyNumberFormat="1" applyBorder="1"/>
    <xf numFmtId="168" fontId="0" fillId="0" borderId="14" xfId="1" applyNumberFormat="1" applyFont="1" applyBorder="1"/>
    <xf numFmtId="172" fontId="0" fillId="0" borderId="15" xfId="0" applyNumberFormat="1" applyBorder="1"/>
    <xf numFmtId="172" fontId="0" fillId="0" borderId="16" xfId="0" applyNumberFormat="1" applyBorder="1"/>
    <xf numFmtId="172" fontId="0" fillId="0" borderId="12" xfId="0" applyNumberFormat="1" applyBorder="1"/>
    <xf numFmtId="172" fontId="0" fillId="0" borderId="14" xfId="0" applyNumberFormat="1" applyBorder="1"/>
    <xf numFmtId="172" fontId="0" fillId="0" borderId="17" xfId="0" applyNumberFormat="1" applyBorder="1"/>
    <xf numFmtId="172" fontId="0" fillId="0" borderId="18" xfId="0" applyNumberFormat="1" applyBorder="1"/>
    <xf numFmtId="172" fontId="0" fillId="0" borderId="19" xfId="0" applyNumberFormat="1" applyBorder="1"/>
    <xf numFmtId="172" fontId="0" fillId="0" borderId="20" xfId="0" applyNumberFormat="1" applyBorder="1"/>
    <xf numFmtId="0" fontId="0" fillId="0" borderId="0" xfId="0" applyFill="1" applyAlignment="1"/>
    <xf numFmtId="0" fontId="0" fillId="8" borderId="37" xfId="0" applyFill="1" applyBorder="1" applyAlignment="1">
      <alignment horizontal="left"/>
    </xf>
    <xf numFmtId="0" fontId="0" fillId="8" borderId="34" xfId="0" applyFill="1" applyBorder="1" applyAlignment="1">
      <alignment horizontal="left"/>
    </xf>
    <xf numFmtId="0" fontId="0" fillId="8" borderId="38" xfId="0" applyFill="1" applyBorder="1" applyAlignment="1">
      <alignment horizontal="left"/>
    </xf>
    <xf numFmtId="0" fontId="0" fillId="2" borderId="43" xfId="0" applyFill="1" applyBorder="1"/>
    <xf numFmtId="0" fontId="0" fillId="2" borderId="44" xfId="0" applyFill="1" applyBorder="1"/>
    <xf numFmtId="0" fontId="0" fillId="2" borderId="32" xfId="0" applyFill="1" applyBorder="1"/>
    <xf numFmtId="168" fontId="0" fillId="4" borderId="0" xfId="0" applyNumberFormat="1" applyFill="1"/>
    <xf numFmtId="173" fontId="0" fillId="0" borderId="0" xfId="0" applyNumberFormat="1"/>
    <xf numFmtId="173" fontId="0" fillId="0" borderId="10" xfId="0" applyNumberFormat="1" applyBorder="1"/>
    <xf numFmtId="173" fontId="0" fillId="0" borderId="11" xfId="0" applyNumberFormat="1" applyBorder="1"/>
    <xf numFmtId="173" fontId="0" fillId="0" borderId="12" xfId="0" applyNumberFormat="1" applyBorder="1"/>
    <xf numFmtId="173" fontId="0" fillId="0" borderId="13" xfId="0" applyNumberFormat="1" applyBorder="1"/>
    <xf numFmtId="173" fontId="0" fillId="0" borderId="0" xfId="0" applyNumberFormat="1" applyBorder="1"/>
    <xf numFmtId="173" fontId="0" fillId="0" borderId="14" xfId="0" applyNumberFormat="1" applyBorder="1"/>
    <xf numFmtId="173" fontId="0" fillId="0" borderId="15" xfId="0" applyNumberFormat="1" applyBorder="1"/>
    <xf numFmtId="173" fontId="0" fillId="0" borderId="16" xfId="0" applyNumberFormat="1" applyBorder="1"/>
    <xf numFmtId="173" fontId="0" fillId="0" borderId="17" xfId="0" applyNumberFormat="1" applyBorder="1"/>
    <xf numFmtId="172" fontId="0" fillId="0" borderId="1" xfId="0" applyNumberFormat="1" applyBorder="1"/>
    <xf numFmtId="172" fontId="0" fillId="0" borderId="2" xfId="0" applyNumberFormat="1" applyBorder="1"/>
    <xf numFmtId="172" fontId="0" fillId="0" borderId="3" xfId="0" applyNumberFormat="1" applyBorder="1"/>
    <xf numFmtId="172" fontId="0" fillId="0" borderId="4" xfId="0" applyNumberFormat="1" applyBorder="1"/>
    <xf numFmtId="172" fontId="0" fillId="0" borderId="5" xfId="0" applyNumberFormat="1" applyBorder="1"/>
    <xf numFmtId="172" fontId="0" fillId="0" borderId="6" xfId="0" applyNumberFormat="1" applyBorder="1"/>
    <xf numFmtId="172" fontId="0" fillId="0" borderId="7" xfId="0" applyNumberFormat="1" applyBorder="1"/>
    <xf numFmtId="172" fontId="0" fillId="0" borderId="8" xfId="0" applyNumberFormat="1" applyBorder="1"/>
    <xf numFmtId="172" fontId="0" fillId="0" borderId="9" xfId="0" applyNumberFormat="1" applyBorder="1"/>
    <xf numFmtId="168" fontId="0" fillId="0" borderId="45" xfId="1" applyNumberFormat="1" applyFont="1" applyBorder="1"/>
    <xf numFmtId="168" fontId="0" fillId="0" borderId="32" xfId="1" applyNumberFormat="1" applyFont="1" applyBorder="1"/>
    <xf numFmtId="168" fontId="0" fillId="0" borderId="46" xfId="1" applyNumberFormat="1" applyFont="1" applyBorder="1"/>
    <xf numFmtId="0" fontId="0" fillId="3" borderId="18" xfId="0" applyFill="1" applyBorder="1"/>
    <xf numFmtId="0" fontId="0" fillId="3" borderId="19" xfId="0" applyFill="1" applyBorder="1"/>
    <xf numFmtId="168" fontId="0" fillId="0" borderId="20" xfId="1" applyNumberFormat="1" applyFont="1" applyBorder="1"/>
    <xf numFmtId="168" fontId="0" fillId="0" borderId="19" xfId="1" applyNumberFormat="1" applyFont="1" applyBorder="1"/>
    <xf numFmtId="168" fontId="0" fillId="0" borderId="40" xfId="1" applyNumberFormat="1" applyFont="1" applyBorder="1"/>
    <xf numFmtId="168" fontId="0" fillId="0" borderId="41" xfId="1" applyNumberFormat="1" applyFont="1" applyBorder="1"/>
    <xf numFmtId="168" fontId="0" fillId="0" borderId="42" xfId="1" applyNumberFormat="1" applyFont="1" applyBorder="1"/>
    <xf numFmtId="168" fontId="5" fillId="0" borderId="20" xfId="0" applyNumberFormat="1" applyFont="1" applyBorder="1"/>
    <xf numFmtId="164" fontId="0" fillId="0" borderId="31" xfId="0" applyNumberFormat="1" applyFill="1" applyBorder="1"/>
    <xf numFmtId="164" fontId="0" fillId="0" borderId="31" xfId="2" applyNumberFormat="1" applyFont="1" applyFill="1" applyBorder="1"/>
    <xf numFmtId="164" fontId="0" fillId="0" borderId="23" xfId="2" applyNumberFormat="1" applyFont="1" applyFill="1" applyBorder="1"/>
    <xf numFmtId="0" fontId="0" fillId="8" borderId="33" xfId="0" applyFill="1" applyBorder="1" applyAlignment="1">
      <alignment horizontal="left"/>
    </xf>
    <xf numFmtId="0" fontId="0" fillId="8" borderId="24" xfId="0" applyFill="1" applyBorder="1" applyAlignment="1">
      <alignment horizontal="left"/>
    </xf>
    <xf numFmtId="0" fontId="0" fillId="8" borderId="0" xfId="0" applyFill="1" applyBorder="1" applyAlignment="1">
      <alignment horizontal="left"/>
    </xf>
    <xf numFmtId="0" fontId="0" fillId="8" borderId="37" xfId="0" applyFill="1" applyBorder="1" applyAlignment="1">
      <alignment horizontal="left"/>
    </xf>
    <xf numFmtId="0" fontId="0" fillId="8" borderId="34" xfId="0" applyFill="1" applyBorder="1" applyAlignment="1">
      <alignment horizontal="left"/>
    </xf>
    <xf numFmtId="0" fontId="0" fillId="8" borderId="38" xfId="0" applyFill="1" applyBorder="1" applyAlignment="1">
      <alignment horizontal="left"/>
    </xf>
    <xf numFmtId="0" fontId="5" fillId="7" borderId="36" xfId="0" applyFont="1" applyFill="1" applyBorder="1"/>
    <xf numFmtId="170" fontId="1" fillId="0" borderId="21" xfId="3" applyNumberFormat="1" applyFont="1" applyFill="1" applyBorder="1"/>
    <xf numFmtId="0" fontId="0" fillId="0" borderId="0" xfId="0" applyFont="1" applyAlignment="1">
      <alignment wrapText="1"/>
    </xf>
    <xf numFmtId="0" fontId="0" fillId="5" borderId="0" xfId="0" applyFont="1" applyFill="1"/>
    <xf numFmtId="0" fontId="0" fillId="0" borderId="0" xfId="0" applyFont="1" applyFill="1"/>
    <xf numFmtId="0" fontId="5" fillId="0" borderId="0" xfId="0" applyFont="1" applyFill="1" applyAlignment="1">
      <alignment wrapText="1"/>
    </xf>
    <xf numFmtId="0" fontId="5" fillId="0" borderId="0" xfId="0" applyFont="1" applyFill="1"/>
    <xf numFmtId="1" fontId="0" fillId="10" borderId="32" xfId="3" applyNumberFormat="1" applyFont="1" applyFill="1" applyBorder="1"/>
    <xf numFmtId="1" fontId="0" fillId="0" borderId="1" xfId="3" applyNumberFormat="1" applyFont="1" applyFill="1" applyBorder="1"/>
    <xf numFmtId="164" fontId="0" fillId="10" borderId="1" xfId="2" applyNumberFormat="1" applyFont="1" applyFill="1" applyBorder="1"/>
    <xf numFmtId="165" fontId="0" fillId="10" borderId="1" xfId="1" applyNumberFormat="1" applyFont="1" applyFill="1" applyBorder="1"/>
    <xf numFmtId="164" fontId="0" fillId="0" borderId="24" xfId="2" applyNumberFormat="1" applyFont="1" applyFill="1" applyBorder="1"/>
    <xf numFmtId="164" fontId="0" fillId="0" borderId="39" xfId="2" applyNumberFormat="1" applyFont="1" applyFill="1" applyBorder="1"/>
    <xf numFmtId="164" fontId="0" fillId="10" borderId="0" xfId="2" applyNumberFormat="1" applyFont="1" applyFill="1"/>
    <xf numFmtId="164" fontId="0" fillId="10" borderId="24" xfId="2" applyNumberFormat="1" applyFont="1" applyFill="1" applyBorder="1"/>
    <xf numFmtId="9" fontId="0" fillId="10" borderId="24" xfId="3" applyFont="1" applyFill="1" applyBorder="1"/>
    <xf numFmtId="0" fontId="0" fillId="0" borderId="0" xfId="0" applyFont="1" applyFill="1" applyBorder="1" applyAlignment="1">
      <alignment vertical="center" wrapText="1"/>
    </xf>
    <xf numFmtId="0" fontId="5" fillId="0" borderId="0" xfId="0" applyFont="1" applyFill="1" applyBorder="1" applyAlignment="1">
      <alignment vertical="center"/>
    </xf>
    <xf numFmtId="1" fontId="0" fillId="10" borderId="1" xfId="3" applyNumberFormat="1" applyFont="1" applyFill="1" applyBorder="1"/>
    <xf numFmtId="0" fontId="0" fillId="0" borderId="0" xfId="0" applyFont="1" applyFill="1" applyBorder="1" applyAlignment="1">
      <alignment horizontal="left"/>
    </xf>
    <xf numFmtId="164" fontId="5" fillId="0" borderId="24" xfId="2" applyNumberFormat="1" applyFont="1" applyFill="1" applyBorder="1"/>
    <xf numFmtId="9" fontId="0" fillId="0" borderId="24" xfId="3" applyFont="1" applyFill="1" applyBorder="1"/>
    <xf numFmtId="0" fontId="8" fillId="5" borderId="0" xfId="0" applyFont="1" applyFill="1" applyAlignment="1">
      <alignment wrapText="1"/>
    </xf>
    <xf numFmtId="164" fontId="6" fillId="0" borderId="0" xfId="2" applyNumberFormat="1" applyFont="1"/>
    <xf numFmtId="0" fontId="0" fillId="10" borderId="24" xfId="2" applyNumberFormat="1" applyFont="1" applyFill="1" applyBorder="1"/>
    <xf numFmtId="0" fontId="0" fillId="0" borderId="24" xfId="3" applyNumberFormat="1" applyFont="1" applyFill="1" applyBorder="1"/>
    <xf numFmtId="164" fontId="6" fillId="0" borderId="24" xfId="0" applyNumberFormat="1" applyFont="1" applyBorder="1"/>
    <xf numFmtId="164" fontId="6" fillId="0" borderId="1" xfId="0" applyNumberFormat="1" applyFont="1" applyBorder="1"/>
    <xf numFmtId="0" fontId="0" fillId="0" borderId="1" xfId="3" applyNumberFormat="1" applyFont="1" applyFill="1" applyBorder="1"/>
    <xf numFmtId="9" fontId="0" fillId="10" borderId="1" xfId="3" applyFont="1" applyFill="1" applyBorder="1"/>
    <xf numFmtId="164" fontId="0" fillId="0" borderId="24" xfId="2" applyNumberFormat="1" applyFont="1" applyBorder="1"/>
    <xf numFmtId="9" fontId="6" fillId="0" borderId="1" xfId="3" applyFont="1" applyBorder="1"/>
    <xf numFmtId="164" fontId="6" fillId="0" borderId="1" xfId="2" applyNumberFormat="1" applyFont="1" applyBorder="1"/>
    <xf numFmtId="0" fontId="12" fillId="0" borderId="0" xfId="4" applyFont="1" applyFill="1" applyBorder="1" applyProtection="1">
      <protection locked="0"/>
    </xf>
    <xf numFmtId="0" fontId="12" fillId="0" borderId="0" xfId="4" applyFont="1" applyFill="1" applyBorder="1"/>
    <xf numFmtId="0" fontId="12" fillId="0" borderId="0" xfId="4" applyFont="1" applyBorder="1"/>
    <xf numFmtId="0" fontId="12" fillId="0" borderId="0" xfId="4" applyFont="1"/>
    <xf numFmtId="0" fontId="6" fillId="0" borderId="0" xfId="4" applyFont="1" applyFill="1"/>
    <xf numFmtId="0" fontId="6" fillId="0" borderId="0" xfId="4" applyFont="1" applyFill="1" applyAlignment="1"/>
    <xf numFmtId="0" fontId="6" fillId="0" borderId="0" xfId="4" applyFont="1"/>
    <xf numFmtId="0" fontId="12" fillId="0" borderId="0" xfId="4" applyFont="1" applyFill="1" applyAlignment="1"/>
    <xf numFmtId="0" fontId="12" fillId="0" borderId="0" xfId="4" applyFont="1" applyFill="1"/>
    <xf numFmtId="0" fontId="14" fillId="9" borderId="0" xfId="0" applyFont="1" applyFill="1" applyBorder="1" applyProtection="1">
      <protection locked="0"/>
    </xf>
    <xf numFmtId="0" fontId="12" fillId="9" borderId="0" xfId="0" applyFont="1" applyFill="1" applyBorder="1" applyProtection="1">
      <protection locked="0"/>
    </xf>
    <xf numFmtId="0" fontId="16" fillId="9" borderId="0" xfId="0" applyFont="1" applyFill="1" applyBorder="1" applyAlignment="1" applyProtection="1">
      <alignment horizontal="left"/>
      <protection locked="0"/>
    </xf>
    <xf numFmtId="0" fontId="14" fillId="9" borderId="0" xfId="0" applyFont="1" applyFill="1" applyBorder="1" applyAlignment="1" applyProtection="1">
      <alignment horizontal="left"/>
      <protection locked="0"/>
    </xf>
    <xf numFmtId="0" fontId="14" fillId="9" borderId="0" xfId="0" applyFont="1" applyFill="1" applyProtection="1">
      <protection locked="0"/>
    </xf>
    <xf numFmtId="0" fontId="12" fillId="9" borderId="0" xfId="0" applyFont="1" applyFill="1" applyProtection="1">
      <protection locked="0"/>
    </xf>
    <xf numFmtId="0" fontId="14" fillId="9" borderId="0" xfId="0" applyFont="1" applyFill="1"/>
    <xf numFmtId="0" fontId="12" fillId="9" borderId="0" xfId="0" applyFont="1" applyFill="1"/>
    <xf numFmtId="0" fontId="7" fillId="9" borderId="0" xfId="0" applyFont="1" applyFill="1" applyProtection="1">
      <protection locked="0"/>
    </xf>
    <xf numFmtId="0" fontId="6" fillId="9" borderId="0" xfId="0" applyFont="1" applyFill="1" applyProtection="1">
      <protection locked="0"/>
    </xf>
    <xf numFmtId="14" fontId="6" fillId="0" borderId="50" xfId="0" applyNumberFormat="1" applyFont="1" applyBorder="1" applyAlignment="1" applyProtection="1">
      <alignment horizontal="center" wrapText="1"/>
      <protection locked="0"/>
    </xf>
    <xf numFmtId="0" fontId="15" fillId="5" borderId="0" xfId="0" applyFont="1" applyFill="1"/>
    <xf numFmtId="0" fontId="5" fillId="7" borderId="1" xfId="0" applyFont="1" applyFill="1" applyBorder="1" applyAlignment="1">
      <alignment wrapText="1"/>
    </xf>
    <xf numFmtId="165" fontId="0" fillId="6" borderId="32" xfId="1" applyNumberFormat="1" applyFont="1" applyFill="1" applyBorder="1"/>
    <xf numFmtId="165" fontId="0" fillId="6" borderId="21" xfId="1" applyNumberFormat="1" applyFont="1" applyFill="1" applyBorder="1"/>
    <xf numFmtId="0" fontId="0" fillId="8" borderId="0" xfId="0" applyFill="1" applyAlignment="1"/>
    <xf numFmtId="0" fontId="0" fillId="8" borderId="0" xfId="0" applyFill="1" applyAlignment="1">
      <alignment wrapText="1"/>
    </xf>
    <xf numFmtId="0" fontId="0" fillId="5" borderId="0" xfId="0" applyFill="1" applyAlignment="1">
      <alignment wrapText="1"/>
    </xf>
    <xf numFmtId="0" fontId="11" fillId="5" borderId="0" xfId="0" applyFont="1" applyFill="1"/>
    <xf numFmtId="0" fontId="16" fillId="0" borderId="0" xfId="4" applyFont="1" applyAlignment="1">
      <alignment horizontal="left"/>
    </xf>
    <xf numFmtId="0" fontId="13" fillId="5" borderId="0" xfId="5" applyFill="1"/>
    <xf numFmtId="164" fontId="0" fillId="0" borderId="0" xfId="2" applyNumberFormat="1" applyFont="1" applyAlignment="1">
      <alignment horizontal="left"/>
    </xf>
    <xf numFmtId="165" fontId="6" fillId="0" borderId="1" xfId="1" applyNumberFormat="1" applyFont="1" applyBorder="1"/>
    <xf numFmtId="164" fontId="6" fillId="0" borderId="1" xfId="0" applyNumberFormat="1" applyFont="1" applyFill="1" applyBorder="1"/>
    <xf numFmtId="0" fontId="0" fillId="7" borderId="32" xfId="0" applyFill="1" applyBorder="1" applyAlignment="1">
      <alignment horizontal="left" wrapText="1"/>
    </xf>
    <xf numFmtId="0" fontId="8" fillId="0" borderId="0" xfId="0" applyFont="1" applyFill="1" applyAlignment="1">
      <alignment wrapText="1"/>
    </xf>
    <xf numFmtId="0" fontId="6" fillId="0" borderId="0" xfId="0" applyFont="1" applyFill="1" applyAlignment="1">
      <alignment wrapText="1"/>
    </xf>
    <xf numFmtId="0" fontId="6" fillId="0" borderId="0" xfId="0" applyFont="1" applyFill="1"/>
    <xf numFmtId="0" fontId="6" fillId="0" borderId="0" xfId="0" applyFont="1"/>
    <xf numFmtId="0" fontId="5" fillId="7" borderId="1" xfId="0" applyFont="1" applyFill="1" applyBorder="1" applyAlignment="1">
      <alignment horizontal="left"/>
    </xf>
    <xf numFmtId="0" fontId="0" fillId="0" borderId="0" xfId="0" applyAlignment="1">
      <alignment horizontal="left"/>
    </xf>
    <xf numFmtId="0" fontId="0" fillId="10" borderId="1" xfId="3" applyNumberFormat="1" applyFont="1" applyFill="1" applyBorder="1"/>
    <xf numFmtId="165" fontId="6" fillId="0" borderId="1" xfId="2" applyNumberFormat="1" applyFont="1" applyFill="1" applyBorder="1"/>
    <xf numFmtId="9" fontId="6" fillId="8" borderId="1" xfId="3" applyFont="1" applyFill="1" applyBorder="1"/>
    <xf numFmtId="9" fontId="0" fillId="6" borderId="21" xfId="3" applyFont="1" applyFill="1" applyBorder="1"/>
    <xf numFmtId="9" fontId="6" fillId="0" borderId="1" xfId="0" applyNumberFormat="1" applyFont="1" applyBorder="1"/>
    <xf numFmtId="43" fontId="0" fillId="0" borderId="1" xfId="1" applyFont="1" applyBorder="1"/>
    <xf numFmtId="170" fontId="6" fillId="0" borderId="21" xfId="3" applyNumberFormat="1" applyFont="1" applyFill="1" applyBorder="1"/>
    <xf numFmtId="164" fontId="0" fillId="6" borderId="37" xfId="2" applyNumberFormat="1" applyFont="1" applyFill="1" applyBorder="1"/>
    <xf numFmtId="164" fontId="0" fillId="6" borderId="35" xfId="2" applyNumberFormat="1" applyFont="1" applyFill="1" applyBorder="1"/>
    <xf numFmtId="164" fontId="0" fillId="9" borderId="39" xfId="2" applyNumberFormat="1" applyFont="1" applyFill="1" applyBorder="1"/>
    <xf numFmtId="164" fontId="0" fillId="9" borderId="1" xfId="2" applyNumberFormat="1" applyFont="1" applyFill="1" applyBorder="1"/>
    <xf numFmtId="0" fontId="0" fillId="0" borderId="1" xfId="0" applyBorder="1" applyAlignment="1">
      <alignment wrapText="1"/>
    </xf>
    <xf numFmtId="0" fontId="8" fillId="12" borderId="0" xfId="0" applyFont="1" applyFill="1" applyAlignment="1">
      <alignment horizontal="center" vertical="center" wrapText="1"/>
    </xf>
    <xf numFmtId="0" fontId="18" fillId="0" borderId="52" xfId="0" applyFont="1" applyBorder="1" applyAlignment="1">
      <alignment horizontal="left" vertical="center" wrapText="1" indent="1"/>
    </xf>
    <xf numFmtId="165" fontId="18" fillId="0" borderId="52" xfId="1" applyNumberFormat="1" applyFont="1" applyBorder="1" applyAlignment="1">
      <alignment horizontal="right" vertical="center" wrapText="1"/>
    </xf>
    <xf numFmtId="165" fontId="19" fillId="13" borderId="52" xfId="1" applyNumberFormat="1" applyFont="1" applyFill="1" applyBorder="1" applyAlignment="1">
      <alignment horizontal="right" vertical="center" wrapText="1"/>
    </xf>
    <xf numFmtId="0" fontId="18" fillId="0" borderId="53" xfId="0" applyFont="1" applyBorder="1" applyAlignment="1">
      <alignment horizontal="left" vertical="center" wrapText="1" indent="1"/>
    </xf>
    <xf numFmtId="165" fontId="18" fillId="0" borderId="53" xfId="1" applyNumberFormat="1" applyFont="1" applyBorder="1" applyAlignment="1">
      <alignment horizontal="right" vertical="center" wrapText="1"/>
    </xf>
    <xf numFmtId="0" fontId="5" fillId="13" borderId="54" xfId="0" applyFont="1" applyFill="1" applyBorder="1" applyAlignment="1">
      <alignment horizontal="center" vertical="center"/>
    </xf>
    <xf numFmtId="165" fontId="5" fillId="13" borderId="54" xfId="1" applyNumberFormat="1" applyFont="1" applyFill="1" applyBorder="1" applyAlignment="1">
      <alignment horizontal="center" vertical="center"/>
    </xf>
    <xf numFmtId="3" fontId="18" fillId="0" borderId="52" xfId="1" applyNumberFormat="1" applyFont="1" applyBorder="1" applyAlignment="1">
      <alignment horizontal="right" vertical="center" wrapText="1"/>
    </xf>
    <xf numFmtId="0" fontId="18" fillId="0" borderId="55" xfId="0" applyFont="1" applyBorder="1" applyAlignment="1">
      <alignment horizontal="left" vertical="center" wrapText="1" indent="1"/>
    </xf>
    <xf numFmtId="3" fontId="5" fillId="13" borderId="54" xfId="1" applyNumberFormat="1" applyFont="1" applyFill="1" applyBorder="1" applyAlignment="1">
      <alignment horizontal="center" vertical="center"/>
    </xf>
    <xf numFmtId="3" fontId="0" fillId="0" borderId="0" xfId="0" applyNumberFormat="1"/>
    <xf numFmtId="3" fontId="8" fillId="12" borderId="0" xfId="0" applyNumberFormat="1" applyFont="1" applyFill="1" applyAlignment="1">
      <alignment horizontal="center" vertical="center" wrapText="1"/>
    </xf>
    <xf numFmtId="165" fontId="0" fillId="0" borderId="0" xfId="0" applyNumberFormat="1"/>
    <xf numFmtId="43" fontId="18" fillId="0" borderId="55" xfId="1" applyFont="1" applyBorder="1" applyAlignment="1">
      <alignment horizontal="left" vertical="center" wrapText="1" indent="1"/>
    </xf>
    <xf numFmtId="3" fontId="18" fillId="0" borderId="55" xfId="1" applyNumberFormat="1" applyFont="1" applyBorder="1" applyAlignment="1">
      <alignment horizontal="right" vertical="center" wrapText="1"/>
    </xf>
    <xf numFmtId="0" fontId="18" fillId="0" borderId="55" xfId="0" applyFont="1" applyFill="1" applyBorder="1" applyAlignment="1">
      <alignment horizontal="left" vertical="center" wrapText="1" indent="1"/>
    </xf>
    <xf numFmtId="0" fontId="8" fillId="12" borderId="0" xfId="0" applyNumberFormat="1" applyFont="1" applyFill="1" applyAlignment="1">
      <alignment horizontal="center" vertical="center" wrapText="1"/>
    </xf>
    <xf numFmtId="0" fontId="19" fillId="0" borderId="52" xfId="0" applyFont="1" applyBorder="1" applyAlignment="1">
      <alignment horizontal="left" vertical="center" wrapText="1" indent="1"/>
    </xf>
    <xf numFmtId="3" fontId="18" fillId="0" borderId="52" xfId="1" applyNumberFormat="1" applyFont="1" applyFill="1" applyBorder="1" applyAlignment="1">
      <alignment horizontal="right" vertical="center" wrapText="1"/>
    </xf>
    <xf numFmtId="0" fontId="19" fillId="13" borderId="52" xfId="0" applyFont="1" applyFill="1" applyBorder="1" applyAlignment="1">
      <alignment horizontal="center" vertical="center" wrapText="1"/>
    </xf>
    <xf numFmtId="3" fontId="19" fillId="13" borderId="52" xfId="1" applyNumberFormat="1" applyFont="1" applyFill="1" applyBorder="1" applyAlignment="1">
      <alignment horizontal="right" vertical="center" wrapText="1"/>
    </xf>
    <xf numFmtId="3" fontId="18" fillId="4" borderId="52" xfId="1" applyNumberFormat="1" applyFont="1" applyFill="1" applyBorder="1" applyAlignment="1">
      <alignment horizontal="right" vertical="center" wrapText="1"/>
    </xf>
    <xf numFmtId="172" fontId="0" fillId="4" borderId="13" xfId="0" applyNumberFormat="1" applyFill="1" applyBorder="1"/>
    <xf numFmtId="164" fontId="2" fillId="0" borderId="0" xfId="2" applyNumberFormat="1" applyFont="1" applyFill="1" applyBorder="1"/>
    <xf numFmtId="2" fontId="0" fillId="4" borderId="0" xfId="0" applyNumberFormat="1" applyFill="1" applyBorder="1"/>
    <xf numFmtId="165" fontId="0" fillId="4" borderId="0" xfId="1" applyNumberFormat="1" applyFont="1" applyFill="1"/>
    <xf numFmtId="3" fontId="18" fillId="0" borderId="0" xfId="1" applyNumberFormat="1" applyFont="1" applyFill="1" applyBorder="1" applyAlignment="1">
      <alignment horizontal="right" vertical="center" wrapText="1"/>
    </xf>
    <xf numFmtId="1" fontId="0" fillId="0" borderId="0" xfId="0" applyNumberFormat="1" applyFill="1"/>
    <xf numFmtId="0" fontId="20" fillId="15" borderId="0" xfId="0" applyFont="1" applyFill="1" applyBorder="1" applyAlignment="1">
      <alignment horizontal="center" vertical="center" wrapText="1"/>
    </xf>
    <xf numFmtId="0" fontId="0" fillId="11" borderId="13" xfId="0" applyFill="1" applyBorder="1" applyAlignment="1">
      <alignment wrapText="1"/>
    </xf>
    <xf numFmtId="0" fontId="0" fillId="11" borderId="0" xfId="0" applyFill="1" applyAlignment="1">
      <alignment wrapText="1"/>
    </xf>
    <xf numFmtId="0" fontId="0" fillId="16" borderId="0" xfId="0" applyFont="1" applyFill="1"/>
    <xf numFmtId="0" fontId="9" fillId="16" borderId="0" xfId="0" applyFont="1" applyFill="1"/>
    <xf numFmtId="0" fontId="9" fillId="16" borderId="0" xfId="0" quotePrefix="1" applyFont="1" applyFill="1"/>
    <xf numFmtId="0" fontId="0" fillId="4" borderId="0" xfId="0" applyFill="1" applyAlignment="1"/>
    <xf numFmtId="168" fontId="2" fillId="4" borderId="0" xfId="1" applyNumberFormat="1" applyFont="1" applyFill="1" applyAlignment="1">
      <alignment wrapText="1"/>
    </xf>
    <xf numFmtId="165" fontId="19" fillId="0" borderId="52" xfId="1" applyNumberFormat="1" applyFont="1" applyFill="1" applyBorder="1" applyAlignment="1">
      <alignment horizontal="right" vertical="center" wrapText="1"/>
    </xf>
    <xf numFmtId="0" fontId="21" fillId="14" borderId="63" xfId="0" applyFont="1" applyFill="1" applyBorder="1" applyAlignment="1">
      <alignment horizontal="center" vertical="center" wrapText="1"/>
    </xf>
    <xf numFmtId="0" fontId="21" fillId="14" borderId="0" xfId="0" applyFont="1" applyFill="1" applyBorder="1" applyAlignment="1">
      <alignment horizontal="center" vertical="center" wrapText="1"/>
    </xf>
    <xf numFmtId="0" fontId="21" fillId="14" borderId="64" xfId="0" applyFont="1" applyFill="1" applyBorder="1" applyAlignment="1">
      <alignment horizontal="center" vertical="center" wrapText="1"/>
    </xf>
    <xf numFmtId="0" fontId="21" fillId="15" borderId="0" xfId="0" applyFont="1" applyFill="1" applyBorder="1" applyAlignment="1">
      <alignment horizontal="center" vertical="center" wrapText="1"/>
    </xf>
    <xf numFmtId="0" fontId="21" fillId="15" borderId="64" xfId="0" applyFont="1" applyFill="1" applyBorder="1" applyAlignment="1">
      <alignment horizontal="center" vertical="center" wrapText="1"/>
    </xf>
    <xf numFmtId="0" fontId="22" fillId="0" borderId="58" xfId="0" applyFont="1" applyFill="1" applyBorder="1" applyAlignment="1">
      <alignment horizontal="left" vertical="center" wrapText="1"/>
    </xf>
    <xf numFmtId="0" fontId="22" fillId="0" borderId="73" xfId="0" applyFont="1" applyFill="1" applyBorder="1" applyAlignment="1">
      <alignment horizontal="center" vertical="center" wrapText="1"/>
    </xf>
    <xf numFmtId="165" fontId="22" fillId="0" borderId="65" xfId="1" applyNumberFormat="1" applyFont="1" applyBorder="1" applyAlignment="1">
      <alignment horizontal="right" vertical="center" wrapText="1"/>
    </xf>
    <xf numFmtId="165" fontId="22" fillId="0" borderId="52" xfId="1" applyNumberFormat="1" applyFont="1" applyBorder="1" applyAlignment="1">
      <alignment horizontal="right" vertical="center" wrapText="1"/>
    </xf>
    <xf numFmtId="165" fontId="22" fillId="0" borderId="66" xfId="1" applyNumberFormat="1" applyFont="1" applyBorder="1" applyAlignment="1">
      <alignment horizontal="right" vertical="center" wrapText="1"/>
    </xf>
    <xf numFmtId="165" fontId="23" fillId="9" borderId="57" xfId="1" applyNumberFormat="1" applyFont="1" applyFill="1" applyBorder="1" applyAlignment="1">
      <alignment horizontal="left" vertical="center" wrapText="1"/>
    </xf>
    <xf numFmtId="0" fontId="22" fillId="0" borderId="64" xfId="0" applyFont="1" applyFill="1" applyBorder="1" applyAlignment="1">
      <alignment horizontal="center" vertical="center" wrapText="1"/>
    </xf>
    <xf numFmtId="165" fontId="22" fillId="0" borderId="55" xfId="1" applyNumberFormat="1" applyFont="1" applyBorder="1" applyAlignment="1">
      <alignment horizontal="right" vertical="center" wrapText="1"/>
    </xf>
    <xf numFmtId="165" fontId="22" fillId="0" borderId="80" xfId="1" applyNumberFormat="1" applyFont="1" applyBorder="1" applyAlignment="1">
      <alignment horizontal="right" vertical="center" wrapText="1"/>
    </xf>
    <xf numFmtId="165" fontId="25" fillId="0" borderId="56" xfId="1" applyNumberFormat="1" applyFont="1" applyFill="1" applyBorder="1" applyAlignment="1">
      <alignment horizontal="center" vertical="center"/>
    </xf>
    <xf numFmtId="165" fontId="25" fillId="0" borderId="76" xfId="1" applyNumberFormat="1" applyFont="1" applyFill="1" applyBorder="1" applyAlignment="1">
      <alignment horizontal="center" vertical="center"/>
    </xf>
    <xf numFmtId="165" fontId="25" fillId="15" borderId="54" xfId="1" applyNumberFormat="1" applyFont="1" applyFill="1" applyBorder="1" applyAlignment="1">
      <alignment horizontal="center" vertical="center"/>
    </xf>
    <xf numFmtId="165" fontId="25" fillId="13" borderId="54" xfId="1" applyNumberFormat="1" applyFont="1" applyFill="1" applyBorder="1" applyAlignment="1">
      <alignment horizontal="center" vertical="center"/>
    </xf>
    <xf numFmtId="165" fontId="25" fillId="13" borderId="67" xfId="1" applyNumberFormat="1" applyFont="1" applyFill="1" applyBorder="1" applyAlignment="1">
      <alignment horizontal="center" vertical="center"/>
    </xf>
    <xf numFmtId="165" fontId="25" fillId="15" borderId="67" xfId="1" applyNumberFormat="1" applyFont="1" applyFill="1" applyBorder="1" applyAlignment="1">
      <alignment horizontal="center" vertical="center"/>
    </xf>
    <xf numFmtId="165" fontId="22" fillId="0" borderId="57" xfId="1" applyNumberFormat="1" applyFont="1" applyFill="1" applyBorder="1" applyAlignment="1">
      <alignment horizontal="left" vertical="center" wrapText="1"/>
    </xf>
    <xf numFmtId="165" fontId="22" fillId="0" borderId="71" xfId="1" applyNumberFormat="1" applyFont="1" applyFill="1" applyBorder="1" applyAlignment="1">
      <alignment horizontal="right" vertical="center" wrapText="1"/>
    </xf>
    <xf numFmtId="0" fontId="26" fillId="0" borderId="0" xfId="0" applyFont="1" applyBorder="1"/>
    <xf numFmtId="0" fontId="26" fillId="0" borderId="59" xfId="0" applyFont="1" applyFill="1" applyBorder="1" applyAlignment="1">
      <alignment wrapText="1"/>
    </xf>
    <xf numFmtId="0" fontId="22" fillId="0" borderId="74" xfId="0" applyFont="1" applyFill="1" applyBorder="1" applyAlignment="1">
      <alignment horizontal="center" vertical="center" wrapText="1"/>
    </xf>
    <xf numFmtId="0" fontId="25" fillId="0" borderId="68" xfId="0" applyFont="1" applyFill="1" applyBorder="1" applyAlignment="1">
      <alignment horizontal="center" vertical="center"/>
    </xf>
    <xf numFmtId="0" fontId="25" fillId="0" borderId="69" xfId="0" applyFont="1" applyFill="1" applyBorder="1" applyAlignment="1">
      <alignment horizontal="center" vertical="center"/>
    </xf>
    <xf numFmtId="0" fontId="25" fillId="0" borderId="79" xfId="0" applyFont="1" applyFill="1" applyBorder="1" applyAlignment="1">
      <alignment horizontal="center" vertical="center"/>
    </xf>
    <xf numFmtId="165" fontId="25" fillId="13" borderId="69" xfId="0" applyNumberFormat="1" applyFont="1" applyFill="1" applyBorder="1" applyAlignment="1">
      <alignment horizontal="center" vertical="center"/>
    </xf>
    <xf numFmtId="165" fontId="25" fillId="13" borderId="70" xfId="0" applyNumberFormat="1" applyFont="1" applyFill="1" applyBorder="1" applyAlignment="1">
      <alignment horizontal="center" vertical="center"/>
    </xf>
    <xf numFmtId="165" fontId="25" fillId="15" borderId="69" xfId="0" applyNumberFormat="1" applyFont="1" applyFill="1" applyBorder="1" applyAlignment="1">
      <alignment horizontal="center" vertical="center"/>
    </xf>
    <xf numFmtId="165" fontId="25" fillId="15" borderId="70" xfId="0" applyNumberFormat="1" applyFont="1" applyFill="1" applyBorder="1" applyAlignment="1">
      <alignment horizontal="center" vertical="center"/>
    </xf>
    <xf numFmtId="0" fontId="26" fillId="0" borderId="0" xfId="0" applyFont="1"/>
    <xf numFmtId="0" fontId="11" fillId="12" borderId="60" xfId="0" applyFont="1" applyFill="1" applyBorder="1" applyAlignment="1">
      <alignment horizontal="center" vertical="center" wrapText="1"/>
    </xf>
    <xf numFmtId="0" fontId="11" fillId="12" borderId="61" xfId="0" applyFont="1" applyFill="1" applyBorder="1" applyAlignment="1">
      <alignment horizontal="center" vertical="center" wrapText="1"/>
    </xf>
    <xf numFmtId="0" fontId="11" fillId="12" borderId="62" xfId="0" applyFont="1" applyFill="1" applyBorder="1" applyAlignment="1">
      <alignment horizontal="center" vertical="center" wrapText="1"/>
    </xf>
    <xf numFmtId="165" fontId="22" fillId="9" borderId="57" xfId="1" applyNumberFormat="1" applyFont="1" applyFill="1" applyBorder="1" applyAlignment="1">
      <alignment horizontal="left" vertical="center" wrapText="1"/>
    </xf>
    <xf numFmtId="165" fontId="22" fillId="9" borderId="71" xfId="1" applyNumberFormat="1" applyFont="1" applyFill="1" applyBorder="1" applyAlignment="1">
      <alignment horizontal="right" vertical="center" wrapText="1"/>
    </xf>
    <xf numFmtId="165" fontId="23" fillId="9" borderId="71" xfId="1" applyNumberFormat="1" applyFont="1" applyFill="1" applyBorder="1" applyAlignment="1">
      <alignment horizontal="left" vertical="center" wrapText="1"/>
    </xf>
    <xf numFmtId="165" fontId="23" fillId="0" borderId="57" xfId="1" applyNumberFormat="1" applyFont="1" applyBorder="1" applyAlignment="1">
      <alignment horizontal="left" vertical="center" wrapText="1"/>
    </xf>
    <xf numFmtId="165" fontId="23" fillId="0" borderId="71" xfId="1" applyNumberFormat="1" applyFont="1" applyBorder="1" applyAlignment="1">
      <alignment horizontal="left" vertical="center" wrapText="1"/>
    </xf>
    <xf numFmtId="165" fontId="25" fillId="9" borderId="56" xfId="1" applyNumberFormat="1" applyFont="1" applyFill="1" applyBorder="1" applyAlignment="1">
      <alignment horizontal="center" vertical="center"/>
    </xf>
    <xf numFmtId="165" fontId="25" fillId="9" borderId="76" xfId="1" applyNumberFormat="1" applyFont="1" applyFill="1" applyBorder="1" applyAlignment="1">
      <alignment horizontal="center" vertical="center"/>
    </xf>
    <xf numFmtId="0" fontId="25" fillId="9" borderId="68" xfId="0" applyFont="1" applyFill="1" applyBorder="1" applyAlignment="1">
      <alignment horizontal="center" vertical="center"/>
    </xf>
    <xf numFmtId="0" fontId="25" fillId="9" borderId="69" xfId="0" applyFont="1" applyFill="1" applyBorder="1" applyAlignment="1">
      <alignment horizontal="center" vertical="center"/>
    </xf>
    <xf numFmtId="0" fontId="25" fillId="9" borderId="70" xfId="0" applyFont="1" applyFill="1" applyBorder="1" applyAlignment="1">
      <alignment horizontal="center" vertical="center"/>
    </xf>
    <xf numFmtId="166" fontId="0" fillId="3" borderId="0" xfId="0" applyNumberFormat="1" applyFill="1"/>
    <xf numFmtId="166" fontId="0" fillId="0" borderId="16" xfId="3" applyNumberFormat="1" applyFont="1" applyFill="1" applyBorder="1"/>
    <xf numFmtId="166" fontId="0" fillId="0" borderId="0" xfId="3" applyNumberFormat="1" applyFont="1" applyFill="1" applyBorder="1"/>
    <xf numFmtId="175" fontId="5" fillId="0" borderId="0" xfId="0" applyNumberFormat="1" applyFont="1"/>
    <xf numFmtId="1" fontId="0" fillId="4" borderId="1" xfId="3" applyNumberFormat="1" applyFont="1" applyFill="1" applyBorder="1"/>
    <xf numFmtId="0" fontId="0" fillId="3" borderId="0" xfId="0" applyFill="1" applyBorder="1"/>
    <xf numFmtId="164" fontId="0" fillId="3" borderId="18" xfId="0" applyNumberFormat="1" applyFill="1" applyBorder="1"/>
    <xf numFmtId="164" fontId="0" fillId="3" borderId="19" xfId="0" applyNumberFormat="1" applyFill="1" applyBorder="1"/>
    <xf numFmtId="164" fontId="0" fillId="3" borderId="20" xfId="0" applyNumberFormat="1" applyFill="1" applyBorder="1"/>
    <xf numFmtId="164" fontId="0" fillId="0" borderId="19" xfId="2" applyNumberFormat="1" applyFont="1" applyBorder="1"/>
    <xf numFmtId="164" fontId="0" fillId="0" borderId="20" xfId="2" applyNumberFormat="1" applyFont="1" applyBorder="1"/>
    <xf numFmtId="164" fontId="0" fillId="0" borderId="10" xfId="2" applyNumberFormat="1" applyFont="1" applyBorder="1"/>
    <xf numFmtId="0" fontId="2" fillId="0" borderId="52" xfId="0" applyFont="1" applyBorder="1" applyAlignment="1">
      <alignment horizontal="left" vertical="center" wrapText="1" indent="1"/>
    </xf>
    <xf numFmtId="3" fontId="8" fillId="0" borderId="0" xfId="0" applyNumberFormat="1" applyFont="1" applyFill="1" applyBorder="1" applyAlignment="1">
      <alignment horizontal="center" vertical="center" wrapText="1"/>
    </xf>
    <xf numFmtId="165" fontId="0" fillId="0" borderId="0" xfId="1" applyNumberFormat="1" applyFont="1" applyFill="1" applyBorder="1"/>
    <xf numFmtId="44" fontId="2" fillId="0" borderId="0" xfId="0" applyNumberFormat="1" applyFont="1" applyBorder="1"/>
    <xf numFmtId="0" fontId="0" fillId="8" borderId="25" xfId="0" applyFill="1" applyBorder="1" applyAlignment="1"/>
    <xf numFmtId="0" fontId="0" fillId="8" borderId="33" xfId="0" applyFill="1" applyBorder="1" applyAlignment="1"/>
    <xf numFmtId="0" fontId="0" fillId="8" borderId="24" xfId="0" applyFill="1" applyBorder="1" applyAlignment="1"/>
    <xf numFmtId="165" fontId="0" fillId="4" borderId="30" xfId="1" applyNumberFormat="1" applyFont="1" applyFill="1" applyBorder="1"/>
    <xf numFmtId="165" fontId="0" fillId="4" borderId="21" xfId="1" applyNumberFormat="1" applyFont="1" applyFill="1" applyBorder="1"/>
    <xf numFmtId="170" fontId="0" fillId="4" borderId="32" xfId="3" applyNumberFormat="1" applyFont="1" applyFill="1" applyBorder="1"/>
    <xf numFmtId="170" fontId="0" fillId="4" borderId="30" xfId="3" applyNumberFormat="1" applyFont="1" applyFill="1" applyBorder="1"/>
    <xf numFmtId="170" fontId="0" fillId="4" borderId="21" xfId="3" applyNumberFormat="1" applyFont="1" applyFill="1" applyBorder="1"/>
    <xf numFmtId="169" fontId="0" fillId="4" borderId="30" xfId="3" applyNumberFormat="1" applyFont="1" applyFill="1" applyBorder="1"/>
    <xf numFmtId="0" fontId="29" fillId="17" borderId="82" xfId="0" applyFont="1" applyFill="1" applyBorder="1" applyAlignment="1">
      <alignment horizontal="center" vertical="center" wrapText="1" readingOrder="1"/>
    </xf>
    <xf numFmtId="9" fontId="29" fillId="17" borderId="82" xfId="3" applyFont="1" applyFill="1" applyBorder="1" applyAlignment="1">
      <alignment horizontal="center" vertical="center" wrapText="1" readingOrder="1"/>
    </xf>
    <xf numFmtId="165" fontId="29" fillId="18" borderId="82" xfId="1" applyNumberFormat="1" applyFont="1" applyFill="1" applyBorder="1" applyAlignment="1">
      <alignment horizontal="center" vertical="center" wrapText="1" readingOrder="1"/>
    </xf>
    <xf numFmtId="0" fontId="29" fillId="18" borderId="82" xfId="0" applyFont="1" applyFill="1" applyBorder="1" applyAlignment="1">
      <alignment horizontal="center" vertical="center" wrapText="1" readingOrder="1"/>
    </xf>
    <xf numFmtId="165" fontId="30" fillId="13" borderId="82" xfId="1" applyNumberFormat="1" applyFont="1" applyFill="1" applyBorder="1" applyAlignment="1">
      <alignment horizontal="center" vertical="center" wrapText="1" readingOrder="1"/>
    </xf>
    <xf numFmtId="170" fontId="30" fillId="13" borderId="82" xfId="1" applyNumberFormat="1" applyFont="1" applyFill="1" applyBorder="1" applyAlignment="1">
      <alignment horizontal="center" vertical="center" wrapText="1" readingOrder="1"/>
    </xf>
    <xf numFmtId="0" fontId="31" fillId="17" borderId="83" xfId="0" applyFont="1" applyFill="1" applyBorder="1" applyAlignment="1">
      <alignment horizontal="left" vertical="center" readingOrder="1"/>
    </xf>
    <xf numFmtId="176" fontId="31" fillId="17" borderId="83" xfId="0" applyNumberFormat="1" applyFont="1" applyFill="1" applyBorder="1" applyAlignment="1">
      <alignment horizontal="left" vertical="center" readingOrder="1"/>
    </xf>
    <xf numFmtId="9" fontId="31" fillId="17" borderId="83" xfId="3" applyFont="1" applyFill="1" applyBorder="1" applyAlignment="1">
      <alignment horizontal="left" vertical="center" readingOrder="1"/>
    </xf>
    <xf numFmtId="165" fontId="31" fillId="18" borderId="83" xfId="1" applyNumberFormat="1" applyFont="1" applyFill="1" applyBorder="1" applyAlignment="1">
      <alignment horizontal="left" vertical="center" readingOrder="1"/>
    </xf>
    <xf numFmtId="165" fontId="32" fillId="13" borderId="83" xfId="1" applyNumberFormat="1" applyFont="1" applyFill="1" applyBorder="1" applyAlignment="1">
      <alignment vertical="center" readingOrder="1"/>
    </xf>
    <xf numFmtId="170" fontId="32" fillId="13" borderId="83" xfId="1" applyNumberFormat="1" applyFont="1" applyFill="1" applyBorder="1" applyAlignment="1">
      <alignment horizontal="right" vertical="center" readingOrder="1"/>
    </xf>
    <xf numFmtId="0" fontId="33" fillId="17" borderId="84" xfId="0" applyFont="1" applyFill="1" applyBorder="1" applyAlignment="1">
      <alignment horizontal="center" vertical="center" readingOrder="1"/>
    </xf>
    <xf numFmtId="176" fontId="31" fillId="17" borderId="84" xfId="0" applyNumberFormat="1" applyFont="1" applyFill="1" applyBorder="1" applyAlignment="1">
      <alignment horizontal="left" vertical="center" readingOrder="1"/>
    </xf>
    <xf numFmtId="0" fontId="31" fillId="17" borderId="84" xfId="0" applyFont="1" applyFill="1" applyBorder="1" applyAlignment="1">
      <alignment horizontal="left" vertical="center" readingOrder="1"/>
    </xf>
    <xf numFmtId="9" fontId="31" fillId="17" borderId="84" xfId="3" applyFont="1" applyFill="1" applyBorder="1" applyAlignment="1">
      <alignment horizontal="left" vertical="center" readingOrder="1"/>
    </xf>
    <xf numFmtId="165" fontId="31" fillId="18" borderId="84" xfId="1" applyNumberFormat="1" applyFont="1" applyFill="1" applyBorder="1" applyAlignment="1">
      <alignment vertical="center" readingOrder="1"/>
    </xf>
    <xf numFmtId="0" fontId="31" fillId="18" borderId="84" xfId="0" applyFont="1" applyFill="1" applyBorder="1" applyAlignment="1">
      <alignment horizontal="left" vertical="center" readingOrder="1"/>
    </xf>
    <xf numFmtId="165" fontId="31" fillId="18" borderId="84" xfId="1" applyNumberFormat="1" applyFont="1" applyFill="1" applyBorder="1" applyAlignment="1">
      <alignment horizontal="left" vertical="center" readingOrder="1"/>
    </xf>
    <xf numFmtId="165" fontId="32" fillId="13" borderId="84" xfId="1" applyNumberFormat="1" applyFont="1" applyFill="1" applyBorder="1" applyAlignment="1">
      <alignment vertical="center" readingOrder="1"/>
    </xf>
    <xf numFmtId="170" fontId="32" fillId="13" borderId="84" xfId="1" applyNumberFormat="1" applyFont="1" applyFill="1" applyBorder="1" applyAlignment="1">
      <alignment horizontal="right" vertical="center" readingOrder="1"/>
    </xf>
    <xf numFmtId="0" fontId="31" fillId="17" borderId="85" xfId="0" applyFont="1" applyFill="1" applyBorder="1" applyAlignment="1">
      <alignment horizontal="left" vertical="center" readingOrder="1"/>
    </xf>
    <xf numFmtId="176" fontId="31" fillId="17" borderId="85" xfId="0" applyNumberFormat="1" applyFont="1" applyFill="1" applyBorder="1" applyAlignment="1">
      <alignment horizontal="left" vertical="center" readingOrder="1"/>
    </xf>
    <xf numFmtId="9" fontId="31" fillId="17" borderId="85" xfId="3" applyFont="1" applyFill="1" applyBorder="1" applyAlignment="1">
      <alignment horizontal="left" vertical="center" readingOrder="1"/>
    </xf>
    <xf numFmtId="165" fontId="32" fillId="13" borderId="85" xfId="1" applyNumberFormat="1" applyFont="1" applyFill="1" applyBorder="1" applyAlignment="1">
      <alignment vertical="center" readingOrder="1"/>
    </xf>
    <xf numFmtId="170" fontId="32" fillId="13" borderId="85" xfId="1" applyNumberFormat="1" applyFont="1" applyFill="1" applyBorder="1" applyAlignment="1">
      <alignment horizontal="right" vertical="center" readingOrder="1"/>
    </xf>
    <xf numFmtId="0" fontId="31" fillId="17" borderId="82" xfId="0" applyFont="1" applyFill="1" applyBorder="1" applyAlignment="1">
      <alignment horizontal="center" vertical="center" wrapText="1" readingOrder="1"/>
    </xf>
    <xf numFmtId="0" fontId="31" fillId="17" borderId="82" xfId="0" applyFont="1" applyFill="1" applyBorder="1" applyAlignment="1">
      <alignment horizontal="left" vertical="center" readingOrder="1"/>
    </xf>
    <xf numFmtId="176" fontId="31" fillId="17" borderId="82" xfId="0" applyNumberFormat="1" applyFont="1" applyFill="1" applyBorder="1" applyAlignment="1">
      <alignment horizontal="left" vertical="center" readingOrder="1"/>
    </xf>
    <xf numFmtId="9" fontId="31" fillId="17" borderId="82" xfId="3" applyFont="1" applyFill="1" applyBorder="1" applyAlignment="1">
      <alignment horizontal="left" vertical="center" readingOrder="1"/>
    </xf>
    <xf numFmtId="165" fontId="31" fillId="18" borderId="82" xfId="1" applyNumberFormat="1" applyFont="1" applyFill="1" applyBorder="1" applyAlignment="1">
      <alignment horizontal="left" vertical="center" readingOrder="1"/>
    </xf>
    <xf numFmtId="165" fontId="32" fillId="13" borderId="82" xfId="1" applyNumberFormat="1" applyFont="1" applyFill="1" applyBorder="1" applyAlignment="1">
      <alignment horizontal="left" vertical="center" readingOrder="1"/>
    </xf>
    <xf numFmtId="170" fontId="32" fillId="13" borderId="82" xfId="1" applyNumberFormat="1" applyFont="1" applyFill="1" applyBorder="1" applyAlignment="1">
      <alignment horizontal="right" vertical="center" readingOrder="1"/>
    </xf>
    <xf numFmtId="0" fontId="31" fillId="17" borderId="84" xfId="0" applyFont="1" applyFill="1" applyBorder="1" applyAlignment="1">
      <alignment vertical="center" readingOrder="1"/>
    </xf>
    <xf numFmtId="165" fontId="32" fillId="13" borderId="83" xfId="1" applyNumberFormat="1" applyFont="1" applyFill="1" applyBorder="1" applyAlignment="1">
      <alignment horizontal="left" vertical="center" readingOrder="1"/>
    </xf>
    <xf numFmtId="165" fontId="32" fillId="13" borderId="84" xfId="1" applyNumberFormat="1" applyFont="1" applyFill="1" applyBorder="1" applyAlignment="1">
      <alignment horizontal="left" vertical="center" readingOrder="1"/>
    </xf>
    <xf numFmtId="165" fontId="0" fillId="18" borderId="84" xfId="1" applyNumberFormat="1" applyFont="1" applyFill="1" applyBorder="1" applyAlignment="1">
      <alignment vertical="center" readingOrder="1"/>
    </xf>
    <xf numFmtId="0" fontId="0" fillId="18" borderId="84" xfId="0" applyFont="1" applyFill="1" applyBorder="1" applyAlignment="1">
      <alignment horizontal="left" vertical="center" readingOrder="1"/>
    </xf>
    <xf numFmtId="165" fontId="0" fillId="18" borderId="84" xfId="1" applyNumberFormat="1" applyFont="1" applyFill="1" applyBorder="1" applyAlignment="1">
      <alignment horizontal="left" vertical="center" readingOrder="1"/>
    </xf>
    <xf numFmtId="165" fontId="9" fillId="13" borderId="84" xfId="1" applyNumberFormat="1" applyFont="1" applyFill="1" applyBorder="1" applyAlignment="1">
      <alignment vertical="center" readingOrder="1"/>
    </xf>
    <xf numFmtId="170" fontId="9" fillId="13" borderId="84" xfId="1" applyNumberFormat="1" applyFont="1" applyFill="1" applyBorder="1" applyAlignment="1">
      <alignment horizontal="right" vertical="center" readingOrder="1"/>
    </xf>
    <xf numFmtId="165" fontId="9" fillId="13" borderId="85" xfId="1" applyNumberFormat="1" applyFont="1" applyFill="1" applyBorder="1" applyAlignment="1">
      <alignment vertical="center" readingOrder="1"/>
    </xf>
    <xf numFmtId="170" fontId="9" fillId="13" borderId="85" xfId="1" applyNumberFormat="1" applyFont="1" applyFill="1" applyBorder="1" applyAlignment="1">
      <alignment horizontal="right" vertical="center" readingOrder="1"/>
    </xf>
    <xf numFmtId="165" fontId="9" fillId="13" borderId="85" xfId="1" applyNumberFormat="1" applyFont="1" applyFill="1" applyBorder="1" applyAlignment="1">
      <alignment vertical="center" wrapText="1" readingOrder="1"/>
    </xf>
    <xf numFmtId="0" fontId="34" fillId="17" borderId="82" xfId="0" applyFont="1" applyFill="1" applyBorder="1" applyAlignment="1">
      <alignment vertical="center" wrapText="1" readingOrder="1"/>
    </xf>
    <xf numFmtId="0" fontId="34" fillId="17" borderId="82" xfId="0" applyFont="1" applyFill="1" applyBorder="1" applyAlignment="1">
      <alignment vertical="center" readingOrder="1"/>
    </xf>
    <xf numFmtId="176" fontId="29" fillId="17" borderId="82" xfId="0" applyNumberFormat="1" applyFont="1" applyFill="1" applyBorder="1" applyAlignment="1">
      <alignment horizontal="left" vertical="center" readingOrder="1"/>
    </xf>
    <xf numFmtId="165" fontId="24" fillId="0" borderId="52" xfId="1" applyNumberFormat="1" applyFont="1" applyBorder="1" applyAlignment="1">
      <alignment horizontal="right" vertical="center" wrapText="1"/>
    </xf>
    <xf numFmtId="0" fontId="35" fillId="14" borderId="0" xfId="0" applyFont="1" applyFill="1" applyBorder="1" applyAlignment="1">
      <alignment horizontal="center" vertical="center" wrapText="1"/>
    </xf>
    <xf numFmtId="165" fontId="36" fillId="0" borderId="52" xfId="1" applyNumberFormat="1" applyFont="1" applyBorder="1" applyAlignment="1">
      <alignment horizontal="right" vertical="center" wrapText="1"/>
    </xf>
    <xf numFmtId="165" fontId="35" fillId="13" borderId="54" xfId="1" applyNumberFormat="1" applyFont="1" applyFill="1" applyBorder="1" applyAlignment="1">
      <alignment horizontal="center" vertical="center"/>
    </xf>
    <xf numFmtId="165" fontId="35" fillId="13" borderId="69" xfId="0" applyNumberFormat="1" applyFont="1" applyFill="1" applyBorder="1" applyAlignment="1">
      <alignment horizontal="center" vertical="center"/>
    </xf>
    <xf numFmtId="0" fontId="36" fillId="0" borderId="0" xfId="0" applyFont="1"/>
    <xf numFmtId="0" fontId="0" fillId="8" borderId="25" xfId="0" applyFill="1" applyBorder="1" applyAlignment="1">
      <alignment horizontal="left"/>
    </xf>
    <xf numFmtId="0" fontId="0" fillId="8" borderId="33" xfId="0" applyFill="1" applyBorder="1" applyAlignment="1">
      <alignment horizontal="left"/>
    </xf>
    <xf numFmtId="0" fontId="0" fillId="8" borderId="24" xfId="0" applyFill="1" applyBorder="1" applyAlignment="1">
      <alignment horizontal="left"/>
    </xf>
    <xf numFmtId="0" fontId="5" fillId="2" borderId="3" xfId="0" applyFont="1" applyFill="1" applyBorder="1"/>
    <xf numFmtId="0" fontId="5" fillId="2" borderId="21" xfId="0" applyFont="1" applyFill="1" applyBorder="1"/>
    <xf numFmtId="0" fontId="5" fillId="2" borderId="1" xfId="0" applyFont="1" applyFill="1" applyBorder="1"/>
    <xf numFmtId="0" fontId="5" fillId="2" borderId="8" xfId="0" applyFont="1" applyFill="1" applyBorder="1"/>
    <xf numFmtId="0" fontId="5" fillId="2" borderId="6" xfId="0" applyFont="1" applyFill="1" applyBorder="1"/>
    <xf numFmtId="0" fontId="5" fillId="2" borderId="5" xfId="0" applyFont="1" applyFill="1" applyBorder="1"/>
    <xf numFmtId="0" fontId="7" fillId="2" borderId="1" xfId="0" applyFont="1" applyFill="1" applyBorder="1"/>
    <xf numFmtId="9" fontId="7" fillId="4" borderId="1" xfId="0" applyNumberFormat="1" applyFont="1" applyFill="1" applyBorder="1"/>
    <xf numFmtId="9" fontId="2" fillId="4" borderId="1" xfId="0" applyNumberFormat="1" applyFont="1" applyFill="1" applyBorder="1"/>
    <xf numFmtId="165" fontId="7" fillId="2" borderId="1" xfId="1" applyNumberFormat="1" applyFont="1" applyFill="1" applyBorder="1"/>
    <xf numFmtId="9" fontId="5" fillId="2" borderId="1" xfId="3" applyFont="1" applyFill="1" applyBorder="1"/>
    <xf numFmtId="9" fontId="17" fillId="2" borderId="1" xfId="3" applyFont="1" applyFill="1" applyBorder="1"/>
    <xf numFmtId="9" fontId="5" fillId="2" borderId="1" xfId="0" applyNumberFormat="1" applyFont="1" applyFill="1" applyBorder="1"/>
    <xf numFmtId="0" fontId="5" fillId="2" borderId="32" xfId="0" applyFont="1" applyFill="1" applyBorder="1"/>
    <xf numFmtId="0" fontId="0" fillId="4" borderId="35" xfId="2" applyNumberFormat="1" applyFont="1" applyFill="1" applyBorder="1"/>
    <xf numFmtId="9" fontId="0" fillId="6" borderId="35" xfId="3" applyFont="1" applyFill="1" applyBorder="1"/>
    <xf numFmtId="9" fontId="0" fillId="4" borderId="35" xfId="3" applyFont="1" applyFill="1" applyBorder="1"/>
    <xf numFmtId="9" fontId="5" fillId="4" borderId="35" xfId="3" applyFont="1" applyFill="1" applyBorder="1"/>
    <xf numFmtId="2" fontId="6" fillId="4" borderId="42" xfId="0" applyNumberFormat="1" applyFont="1" applyFill="1" applyBorder="1"/>
    <xf numFmtId="2" fontId="2" fillId="0" borderId="40" xfId="0" applyNumberFormat="1" applyFont="1" applyBorder="1"/>
    <xf numFmtId="2" fontId="2" fillId="0" borderId="41" xfId="0" applyNumberFormat="1" applyFont="1" applyBorder="1"/>
    <xf numFmtId="0" fontId="7" fillId="0" borderId="2" xfId="0" applyFont="1" applyFill="1" applyBorder="1"/>
    <xf numFmtId="0" fontId="7" fillId="0" borderId="4" xfId="0" applyFont="1" applyFill="1" applyBorder="1"/>
    <xf numFmtId="0" fontId="7" fillId="0" borderId="6" xfId="0" applyFont="1" applyFill="1" applyBorder="1"/>
    <xf numFmtId="2" fontId="7" fillId="0" borderId="9" xfId="0" applyNumberFormat="1" applyFont="1" applyFill="1" applyBorder="1"/>
    <xf numFmtId="43" fontId="7" fillId="4" borderId="2" xfId="1" applyFont="1" applyFill="1" applyBorder="1"/>
    <xf numFmtId="0" fontId="7" fillId="2" borderId="0" xfId="0" applyFont="1" applyFill="1" applyBorder="1"/>
    <xf numFmtId="0" fontId="5" fillId="2" borderId="41" xfId="0" applyFont="1" applyFill="1" applyBorder="1"/>
    <xf numFmtId="166" fontId="0" fillId="0" borderId="0" xfId="0" applyNumberFormat="1"/>
    <xf numFmtId="0" fontId="0" fillId="0" borderId="0" xfId="0" applyAlignment="1">
      <alignment horizontal="right"/>
    </xf>
    <xf numFmtId="168" fontId="0" fillId="4" borderId="0" xfId="1" applyNumberFormat="1" applyFont="1" applyFill="1" applyBorder="1"/>
    <xf numFmtId="164" fontId="0" fillId="4" borderId="25" xfId="2" applyNumberFormat="1" applyFont="1" applyFill="1" applyBorder="1"/>
    <xf numFmtId="164" fontId="0" fillId="4" borderId="29" xfId="2" applyNumberFormat="1" applyFont="1" applyFill="1" applyBorder="1"/>
    <xf numFmtId="0" fontId="5" fillId="4" borderId="1" xfId="0" applyFont="1" applyFill="1" applyBorder="1"/>
    <xf numFmtId="0" fontId="0" fillId="4" borderId="0" xfId="2" applyNumberFormat="1" applyFont="1" applyFill="1" applyBorder="1"/>
    <xf numFmtId="164" fontId="2" fillId="0" borderId="26" xfId="2" applyNumberFormat="1" applyFont="1" applyBorder="1"/>
    <xf numFmtId="164" fontId="2" fillId="0" borderId="21" xfId="2" applyNumberFormat="1" applyFont="1" applyBorder="1"/>
    <xf numFmtId="164" fontId="2" fillId="0" borderId="4" xfId="2" applyNumberFormat="1" applyFont="1" applyBorder="1"/>
    <xf numFmtId="164" fontId="2" fillId="0" borderId="6" xfId="2" applyNumberFormat="1" applyFont="1" applyBorder="1"/>
    <xf numFmtId="164" fontId="2" fillId="0" borderId="9" xfId="2" applyNumberFormat="1" applyFont="1" applyBorder="1"/>
    <xf numFmtId="0" fontId="38" fillId="0" borderId="0" xfId="0" applyFont="1" applyAlignment="1">
      <alignment wrapText="1"/>
    </xf>
    <xf numFmtId="0" fontId="0" fillId="3" borderId="0" xfId="0" applyFill="1" applyAlignment="1">
      <alignment wrapText="1"/>
    </xf>
    <xf numFmtId="0" fontId="0" fillId="0" borderId="27" xfId="0" applyBorder="1"/>
    <xf numFmtId="0" fontId="0" fillId="0" borderId="28" xfId="0" applyBorder="1"/>
    <xf numFmtId="0" fontId="0" fillId="0" borderId="29" xfId="0" applyBorder="1"/>
    <xf numFmtId="3" fontId="0" fillId="16" borderId="0" xfId="0" applyNumberFormat="1" applyFill="1"/>
    <xf numFmtId="164" fontId="2" fillId="4" borderId="25" xfId="2" applyNumberFormat="1" applyFont="1" applyFill="1" applyBorder="1"/>
    <xf numFmtId="164" fontId="2" fillId="4" borderId="1" xfId="2" applyNumberFormat="1" applyFont="1" applyFill="1" applyBorder="1"/>
    <xf numFmtId="44" fontId="0" fillId="4" borderId="0" xfId="2" applyFont="1" applyFill="1"/>
    <xf numFmtId="164" fontId="0" fillId="4" borderId="1" xfId="2" applyNumberFormat="1" applyFont="1" applyFill="1" applyBorder="1"/>
    <xf numFmtId="168" fontId="6" fillId="4" borderId="16" xfId="1" applyNumberFormat="1" applyFont="1" applyFill="1" applyBorder="1"/>
    <xf numFmtId="164" fontId="0" fillId="4" borderId="12" xfId="2" applyNumberFormat="1" applyFont="1" applyFill="1" applyBorder="1"/>
    <xf numFmtId="164" fontId="0" fillId="4" borderId="14" xfId="2" applyNumberFormat="1" applyFont="1" applyFill="1" applyBorder="1"/>
    <xf numFmtId="164" fontId="0" fillId="3" borderId="27" xfId="2" applyNumberFormat="1" applyFont="1" applyFill="1" applyBorder="1"/>
    <xf numFmtId="164" fontId="0" fillId="3" borderId="28" xfId="2" applyNumberFormat="1" applyFont="1" applyFill="1" applyBorder="1"/>
    <xf numFmtId="164" fontId="0" fillId="3" borderId="29" xfId="2" applyNumberFormat="1" applyFont="1" applyFill="1" applyBorder="1"/>
    <xf numFmtId="177" fontId="22" fillId="4" borderId="57" xfId="1" applyNumberFormat="1" applyFont="1" applyFill="1" applyBorder="1" applyAlignment="1">
      <alignment horizontal="left" vertical="center" wrapText="1"/>
    </xf>
    <xf numFmtId="165" fontId="31" fillId="4" borderId="83" xfId="1" applyNumberFormat="1" applyFont="1" applyFill="1" applyBorder="1" applyAlignment="1">
      <alignment vertical="center" readingOrder="1"/>
    </xf>
    <xf numFmtId="165" fontId="32" fillId="4" borderId="85" xfId="1" applyNumberFormat="1" applyFont="1" applyFill="1" applyBorder="1" applyAlignment="1">
      <alignment vertical="center" readingOrder="1"/>
    </xf>
    <xf numFmtId="165" fontId="31" fillId="4" borderId="85" xfId="1" applyNumberFormat="1" applyFont="1" applyFill="1" applyBorder="1" applyAlignment="1">
      <alignment vertical="center" readingOrder="1"/>
    </xf>
    <xf numFmtId="165" fontId="31" fillId="4" borderId="82" xfId="1" applyNumberFormat="1" applyFont="1" applyFill="1" applyBorder="1" applyAlignment="1">
      <alignment horizontal="left" vertical="center" readingOrder="1"/>
    </xf>
    <xf numFmtId="0" fontId="39" fillId="0" borderId="0" xfId="0" applyFont="1"/>
    <xf numFmtId="165" fontId="31" fillId="4" borderId="84" xfId="1" applyNumberFormat="1" applyFont="1" applyFill="1" applyBorder="1" applyAlignment="1">
      <alignment vertical="center" readingOrder="1"/>
    </xf>
    <xf numFmtId="165" fontId="31" fillId="4" borderId="83" xfId="1" applyNumberFormat="1" applyFont="1" applyFill="1" applyBorder="1" applyAlignment="1">
      <alignment horizontal="left" vertical="center" readingOrder="1"/>
    </xf>
    <xf numFmtId="165" fontId="31" fillId="4" borderId="84" xfId="1" applyNumberFormat="1" applyFont="1" applyFill="1" applyBorder="1" applyAlignment="1">
      <alignment horizontal="left" vertical="center" readingOrder="1"/>
    </xf>
    <xf numFmtId="43" fontId="0" fillId="0" borderId="1" xfId="1" applyFont="1" applyFill="1" applyBorder="1" applyAlignment="1"/>
    <xf numFmtId="0" fontId="0" fillId="8" borderId="1" xfId="0" applyFont="1" applyFill="1" applyBorder="1" applyAlignment="1"/>
    <xf numFmtId="43" fontId="0" fillId="4" borderId="1" xfId="1" applyFont="1" applyFill="1" applyBorder="1" applyAlignment="1"/>
    <xf numFmtId="165" fontId="6" fillId="0" borderId="0" xfId="1" applyNumberFormat="1" applyFont="1" applyFill="1"/>
    <xf numFmtId="164" fontId="0" fillId="4" borderId="85" xfId="2" applyNumberFormat="1" applyFont="1" applyFill="1" applyBorder="1" applyAlignment="1">
      <alignment horizontal="left" vertical="center" readingOrder="1"/>
    </xf>
    <xf numFmtId="0" fontId="0" fillId="0" borderId="1" xfId="0" applyFont="1" applyFill="1" applyBorder="1" applyAlignment="1"/>
    <xf numFmtId="9" fontId="0" fillId="0" borderId="1" xfId="3" applyFont="1" applyFill="1" applyBorder="1" applyAlignment="1"/>
    <xf numFmtId="164" fontId="6" fillId="0" borderId="0" xfId="2" applyNumberFormat="1" applyFont="1" applyFill="1"/>
    <xf numFmtId="164" fontId="31" fillId="4" borderId="83" xfId="2" applyNumberFormat="1" applyFont="1" applyFill="1" applyBorder="1" applyAlignment="1">
      <alignment horizontal="left" vertical="center" readingOrder="1"/>
    </xf>
    <xf numFmtId="164" fontId="0" fillId="4" borderId="85" xfId="2" applyNumberFormat="1" applyFont="1" applyFill="1" applyBorder="1" applyAlignment="1">
      <alignment vertical="center" readingOrder="1"/>
    </xf>
    <xf numFmtId="0" fontId="31" fillId="4" borderId="85" xfId="0" applyFont="1" applyFill="1" applyBorder="1" applyAlignment="1">
      <alignment horizontal="center" vertical="center" wrapText="1" readingOrder="1"/>
    </xf>
    <xf numFmtId="164" fontId="0" fillId="4" borderId="24" xfId="2" applyNumberFormat="1" applyFont="1" applyFill="1" applyBorder="1"/>
    <xf numFmtId="3" fontId="0" fillId="0" borderId="0" xfId="0" applyNumberFormat="1" applyAlignment="1">
      <alignment horizontal="right"/>
    </xf>
    <xf numFmtId="44" fontId="40" fillId="0" borderId="0" xfId="0" applyNumberFormat="1" applyFont="1" applyBorder="1"/>
    <xf numFmtId="0" fontId="0" fillId="0" borderId="18" xfId="0" applyBorder="1"/>
    <xf numFmtId="0" fontId="0" fillId="0" borderId="19" xfId="0" applyBorder="1"/>
    <xf numFmtId="0" fontId="0" fillId="0" borderId="20" xfId="0" applyBorder="1"/>
    <xf numFmtId="166" fontId="0" fillId="0" borderId="18" xfId="3" applyNumberFormat="1" applyFont="1" applyBorder="1"/>
    <xf numFmtId="166" fontId="0" fillId="0" borderId="19" xfId="3" applyNumberFormat="1" applyFont="1" applyBorder="1"/>
    <xf numFmtId="166" fontId="0" fillId="0" borderId="20" xfId="3" applyNumberFormat="1" applyFont="1" applyBorder="1"/>
    <xf numFmtId="178" fontId="0" fillId="0" borderId="18" xfId="3" applyNumberFormat="1" applyFont="1" applyBorder="1"/>
    <xf numFmtId="178" fontId="0" fillId="0" borderId="19" xfId="3" applyNumberFormat="1" applyFont="1" applyBorder="1"/>
    <xf numFmtId="178" fontId="0" fillId="0" borderId="20" xfId="3" applyNumberFormat="1" applyFont="1" applyBorder="1"/>
    <xf numFmtId="178" fontId="0" fillId="0" borderId="0" xfId="0" applyNumberFormat="1"/>
    <xf numFmtId="44" fontId="0" fillId="0" borderId="18" xfId="2" applyFont="1" applyBorder="1"/>
    <xf numFmtId="44" fontId="0" fillId="0" borderId="19" xfId="2" applyFont="1" applyBorder="1"/>
    <xf numFmtId="44" fontId="0" fillId="0" borderId="20" xfId="2" applyFont="1" applyBorder="1"/>
    <xf numFmtId="178" fontId="0" fillId="4" borderId="86" xfId="0" applyNumberFormat="1" applyFill="1" applyBorder="1"/>
    <xf numFmtId="178" fontId="0" fillId="0" borderId="18" xfId="0" applyNumberFormat="1" applyBorder="1"/>
    <xf numFmtId="178" fontId="0" fillId="0" borderId="19" xfId="0" applyNumberFormat="1" applyBorder="1"/>
    <xf numFmtId="178" fontId="0" fillId="0" borderId="20" xfId="0" applyNumberFormat="1" applyBorder="1"/>
    <xf numFmtId="178" fontId="0" fillId="3" borderId="0" xfId="0" applyNumberFormat="1" applyFill="1"/>
    <xf numFmtId="166" fontId="0" fillId="0" borderId="0" xfId="0" applyNumberFormat="1" applyFill="1"/>
    <xf numFmtId="166" fontId="0" fillId="3" borderId="18" xfId="3" applyNumberFormat="1" applyFont="1" applyFill="1" applyBorder="1"/>
    <xf numFmtId="166" fontId="0" fillId="3" borderId="19" xfId="3" applyNumberFormat="1" applyFont="1" applyFill="1" applyBorder="1"/>
    <xf numFmtId="166" fontId="0" fillId="3" borderId="20" xfId="3" applyNumberFormat="1" applyFont="1" applyFill="1" applyBorder="1"/>
    <xf numFmtId="166" fontId="0" fillId="3" borderId="86" xfId="3" applyNumberFormat="1" applyFont="1" applyFill="1" applyBorder="1"/>
    <xf numFmtId="166" fontId="0" fillId="0" borderId="18" xfId="3" applyNumberFormat="1" applyFont="1" applyFill="1" applyBorder="1"/>
    <xf numFmtId="166" fontId="0" fillId="0" borderId="19" xfId="3" applyNumberFormat="1" applyFont="1" applyFill="1" applyBorder="1"/>
    <xf numFmtId="166" fontId="0" fillId="0" borderId="20" xfId="3" applyNumberFormat="1" applyFont="1" applyFill="1" applyBorder="1"/>
    <xf numFmtId="44" fontId="0" fillId="0" borderId="86" xfId="0" applyNumberFormat="1" applyBorder="1"/>
    <xf numFmtId="0" fontId="0" fillId="16" borderId="0" xfId="0" applyFont="1" applyFill="1" applyAlignment="1"/>
    <xf numFmtId="0" fontId="22" fillId="0" borderId="58" xfId="0" applyFont="1" applyFill="1" applyBorder="1" applyAlignment="1">
      <alignment horizontal="left" vertical="center"/>
    </xf>
    <xf numFmtId="165" fontId="23" fillId="9" borderId="57" xfId="1" applyNumberFormat="1" applyFont="1" applyFill="1" applyBorder="1" applyAlignment="1">
      <alignment horizontal="left" vertical="center"/>
    </xf>
    <xf numFmtId="165" fontId="22" fillId="0" borderId="57" xfId="1" applyNumberFormat="1" applyFont="1" applyFill="1" applyBorder="1" applyAlignment="1">
      <alignment horizontal="left" vertical="center"/>
    </xf>
    <xf numFmtId="0" fontId="26" fillId="0" borderId="59" xfId="0" applyFont="1" applyFill="1" applyBorder="1" applyAlignment="1"/>
    <xf numFmtId="0" fontId="26" fillId="0" borderId="0" xfId="0" applyFont="1" applyAlignment="1"/>
    <xf numFmtId="0" fontId="11" fillId="12" borderId="61" xfId="0" applyFont="1" applyFill="1" applyBorder="1" applyAlignment="1">
      <alignment horizontal="center" vertical="center"/>
    </xf>
    <xf numFmtId="165" fontId="22" fillId="9" borderId="57" xfId="1" applyNumberFormat="1" applyFont="1" applyFill="1" applyBorder="1" applyAlignment="1">
      <alignment horizontal="left" vertical="center"/>
    </xf>
    <xf numFmtId="165" fontId="22" fillId="4" borderId="57" xfId="1" applyNumberFormat="1" applyFont="1" applyFill="1" applyBorder="1" applyAlignment="1">
      <alignment horizontal="left" vertical="center"/>
    </xf>
    <xf numFmtId="165" fontId="18" fillId="2" borderId="52" xfId="1" applyNumberFormat="1" applyFont="1" applyFill="1" applyBorder="1" applyAlignment="1">
      <alignment horizontal="right" vertical="center" wrapText="1"/>
    </xf>
    <xf numFmtId="172" fontId="0" fillId="2" borderId="13" xfId="0" applyNumberFormat="1" applyFill="1" applyBorder="1"/>
    <xf numFmtId="172" fontId="0" fillId="2" borderId="0" xfId="0" applyNumberFormat="1" applyFill="1" applyBorder="1"/>
    <xf numFmtId="0" fontId="7" fillId="4" borderId="2" xfId="0" applyFont="1" applyFill="1" applyBorder="1"/>
    <xf numFmtId="164" fontId="0" fillId="4" borderId="0" xfId="0" applyNumberFormat="1" applyFill="1"/>
    <xf numFmtId="165" fontId="36" fillId="0" borderId="52" xfId="1" applyNumberFormat="1" applyFont="1" applyFill="1" applyBorder="1" applyAlignment="1">
      <alignment horizontal="right" vertical="center" wrapText="1"/>
    </xf>
    <xf numFmtId="165" fontId="36" fillId="0" borderId="87" xfId="1" applyNumberFormat="1" applyFont="1" applyBorder="1" applyAlignment="1">
      <alignment horizontal="right" vertical="center" wrapText="1"/>
    </xf>
    <xf numFmtId="165" fontId="22" fillId="0" borderId="87" xfId="1" applyNumberFormat="1" applyFont="1" applyBorder="1" applyAlignment="1">
      <alignment horizontal="right" vertical="center" wrapText="1"/>
    </xf>
    <xf numFmtId="0" fontId="36" fillId="0" borderId="88" xfId="0" applyFont="1" applyBorder="1"/>
    <xf numFmtId="165" fontId="22" fillId="0" borderId="88" xfId="1" applyNumberFormat="1" applyFont="1" applyBorder="1" applyAlignment="1">
      <alignment horizontal="right" vertical="center" wrapText="1"/>
    </xf>
    <xf numFmtId="165" fontId="36" fillId="0" borderId="54" xfId="1" applyNumberFormat="1" applyFont="1" applyBorder="1" applyAlignment="1">
      <alignment horizontal="right" vertical="center" wrapText="1"/>
    </xf>
    <xf numFmtId="165" fontId="22" fillId="0" borderId="54" xfId="1" applyNumberFormat="1" applyFont="1" applyBorder="1" applyAlignment="1">
      <alignment horizontal="right" vertical="center" wrapText="1"/>
    </xf>
    <xf numFmtId="165" fontId="36" fillId="0" borderId="88" xfId="1" applyNumberFormat="1" applyFont="1" applyBorder="1" applyAlignment="1">
      <alignment horizontal="right" vertical="center" wrapText="1"/>
    </xf>
    <xf numFmtId="165" fontId="24" fillId="0" borderId="89" xfId="1" applyNumberFormat="1" applyFont="1" applyBorder="1" applyAlignment="1">
      <alignment horizontal="right" vertical="center" wrapText="1"/>
    </xf>
    <xf numFmtId="165" fontId="24" fillId="0" borderId="87" xfId="1" applyNumberFormat="1" applyFont="1" applyBorder="1" applyAlignment="1">
      <alignment horizontal="right" vertical="center" wrapText="1"/>
    </xf>
    <xf numFmtId="164" fontId="17" fillId="0" borderId="1" xfId="2" applyNumberFormat="1" applyFont="1" applyFill="1" applyBorder="1"/>
    <xf numFmtId="44" fontId="0" fillId="0" borderId="0" xfId="2" applyNumberFormat="1" applyFont="1"/>
    <xf numFmtId="44" fontId="6" fillId="0" borderId="1" xfId="2" applyNumberFormat="1" applyFont="1" applyBorder="1"/>
    <xf numFmtId="0" fontId="20" fillId="14" borderId="63" xfId="0" applyFont="1" applyFill="1" applyBorder="1" applyAlignment="1">
      <alignment horizontal="center" vertical="center" textRotation="90" wrapText="1"/>
    </xf>
    <xf numFmtId="0" fontId="20" fillId="14" borderId="0" xfId="0" applyFont="1" applyFill="1" applyBorder="1" applyAlignment="1">
      <alignment horizontal="center" vertical="center" textRotation="90" wrapText="1"/>
    </xf>
    <xf numFmtId="0" fontId="20" fillId="14" borderId="64" xfId="0" applyFont="1" applyFill="1" applyBorder="1" applyAlignment="1">
      <alignment horizontal="center" vertical="center" textRotation="90" wrapText="1"/>
    </xf>
    <xf numFmtId="0" fontId="20" fillId="15" borderId="0" xfId="0" applyFont="1" applyFill="1" applyBorder="1" applyAlignment="1">
      <alignment horizontal="center" vertical="center" textRotation="90" wrapText="1"/>
    </xf>
    <xf numFmtId="0" fontId="20" fillId="15" borderId="64" xfId="0" applyFont="1" applyFill="1" applyBorder="1" applyAlignment="1">
      <alignment horizontal="center" vertical="center" textRotation="90" wrapText="1"/>
    </xf>
    <xf numFmtId="0" fontId="20" fillId="16" borderId="92" xfId="0" applyFont="1" applyFill="1" applyBorder="1" applyAlignment="1">
      <alignment horizontal="center" vertical="center" textRotation="90" wrapText="1"/>
    </xf>
    <xf numFmtId="0" fontId="20" fillId="16" borderId="93" xfId="0" applyFont="1" applyFill="1" applyBorder="1" applyAlignment="1">
      <alignment horizontal="center" vertical="center" textRotation="90" wrapText="1"/>
    </xf>
    <xf numFmtId="0" fontId="0" fillId="0" borderId="95" xfId="0" applyBorder="1"/>
    <xf numFmtId="0" fontId="0" fillId="0" borderId="96" xfId="0" applyBorder="1"/>
    <xf numFmtId="0" fontId="0" fillId="0" borderId="52" xfId="0" applyBorder="1"/>
    <xf numFmtId="0" fontId="0" fillId="0" borderId="66" xfId="0" applyBorder="1"/>
    <xf numFmtId="165" fontId="43" fillId="9" borderId="71" xfId="1" applyNumberFormat="1" applyFont="1" applyFill="1" applyBorder="1" applyAlignment="1">
      <alignment horizontal="left" vertical="center" wrapText="1"/>
    </xf>
    <xf numFmtId="0" fontId="0" fillId="0" borderId="53" xfId="0" applyBorder="1"/>
    <xf numFmtId="0" fontId="0" fillId="0" borderId="98" xfId="0" applyBorder="1"/>
    <xf numFmtId="0" fontId="0" fillId="0" borderId="0" xfId="0" applyAlignment="1">
      <alignment horizontal="center"/>
    </xf>
    <xf numFmtId="0" fontId="0" fillId="0" borderId="0" xfId="0" applyFont="1" applyAlignment="1">
      <alignment horizontal="center"/>
    </xf>
    <xf numFmtId="165" fontId="0" fillId="0" borderId="88" xfId="0" applyNumberFormat="1" applyBorder="1"/>
    <xf numFmtId="165" fontId="0" fillId="0" borderId="101" xfId="0" applyNumberFormat="1" applyBorder="1"/>
    <xf numFmtId="0" fontId="21" fillId="14" borderId="60" xfId="0" applyFont="1" applyFill="1" applyBorder="1" applyAlignment="1">
      <alignment vertical="center"/>
    </xf>
    <xf numFmtId="0" fontId="21" fillId="14" borderId="61" xfId="0" applyFont="1" applyFill="1" applyBorder="1" applyAlignment="1">
      <alignment vertical="center"/>
    </xf>
    <xf numFmtId="0" fontId="21" fillId="14" borderId="62" xfId="0" applyFont="1" applyFill="1" applyBorder="1" applyAlignment="1">
      <alignment vertical="center"/>
    </xf>
    <xf numFmtId="0" fontId="21" fillId="15" borderId="60" xfId="0" applyFont="1" applyFill="1" applyBorder="1" applyAlignment="1">
      <alignment vertical="center"/>
    </xf>
    <xf numFmtId="0" fontId="21" fillId="15" borderId="61" xfId="0" applyFont="1" applyFill="1" applyBorder="1" applyAlignment="1">
      <alignment vertical="center"/>
    </xf>
    <xf numFmtId="0" fontId="21" fillId="15" borderId="62" xfId="0" applyFont="1" applyFill="1" applyBorder="1" applyAlignment="1">
      <alignment vertical="center"/>
    </xf>
    <xf numFmtId="0" fontId="20" fillId="16" borderId="99" xfId="0" applyFont="1" applyFill="1" applyBorder="1" applyAlignment="1">
      <alignment vertical="center" textRotation="90" wrapText="1"/>
    </xf>
    <xf numFmtId="0" fontId="0" fillId="16" borderId="100" xfId="0" applyFill="1" applyBorder="1" applyAlignment="1">
      <alignment horizontal="center"/>
    </xf>
    <xf numFmtId="0" fontId="20" fillId="16" borderId="94" xfId="0" applyFont="1" applyFill="1" applyBorder="1" applyAlignment="1">
      <alignment horizontal="center" vertical="center" wrapText="1"/>
    </xf>
    <xf numFmtId="0" fontId="0" fillId="8" borderId="1" xfId="0" applyFont="1" applyFill="1" applyBorder="1" applyAlignment="1">
      <alignment horizontal="center"/>
    </xf>
    <xf numFmtId="165" fontId="0" fillId="4" borderId="32" xfId="1" applyNumberFormat="1" applyFont="1" applyFill="1" applyBorder="1"/>
    <xf numFmtId="0" fontId="0" fillId="7" borderId="0" xfId="0" applyFont="1" applyFill="1" applyBorder="1" applyAlignment="1">
      <alignment vertical="center" wrapText="1"/>
    </xf>
    <xf numFmtId="164" fontId="6" fillId="4" borderId="1" xfId="2" applyNumberFormat="1" applyFont="1" applyFill="1" applyBorder="1"/>
    <xf numFmtId="164" fontId="0" fillId="0" borderId="0" xfId="0" applyNumberFormat="1" applyFill="1"/>
    <xf numFmtId="0" fontId="0" fillId="4" borderId="1" xfId="3" applyNumberFormat="1" applyFont="1" applyFill="1" applyBorder="1"/>
    <xf numFmtId="164" fontId="0" fillId="8" borderId="1" xfId="0" applyNumberFormat="1" applyFont="1" applyFill="1" applyBorder="1" applyAlignment="1">
      <alignment horizontal="center"/>
    </xf>
    <xf numFmtId="0" fontId="0" fillId="8" borderId="1" xfId="0" applyFont="1" applyFill="1" applyBorder="1" applyAlignment="1">
      <alignment horizontal="left"/>
    </xf>
    <xf numFmtId="0" fontId="5" fillId="7" borderId="25" xfId="0" applyFont="1" applyFill="1" applyBorder="1" applyAlignment="1">
      <alignment horizontal="center" wrapText="1"/>
    </xf>
    <xf numFmtId="0" fontId="5" fillId="7" borderId="33" xfId="0" applyFont="1" applyFill="1" applyBorder="1" applyAlignment="1">
      <alignment horizontal="center" wrapText="1"/>
    </xf>
    <xf numFmtId="49" fontId="6" fillId="0" borderId="48" xfId="0" applyNumberFormat="1" applyFont="1" applyBorder="1" applyAlignment="1" applyProtection="1">
      <alignment horizontal="center" wrapText="1"/>
      <protection locked="0"/>
    </xf>
    <xf numFmtId="49" fontId="6" fillId="0" borderId="49" xfId="0" applyNumberFormat="1" applyFont="1" applyBorder="1" applyAlignment="1">
      <alignment horizontal="center" wrapText="1"/>
    </xf>
    <xf numFmtId="174" fontId="6" fillId="0" borderId="48" xfId="0" applyNumberFormat="1" applyFont="1" applyBorder="1" applyAlignment="1" applyProtection="1">
      <alignment horizontal="center" wrapText="1"/>
      <protection locked="0"/>
    </xf>
    <xf numFmtId="174" fontId="6" fillId="0" borderId="49" xfId="0" applyNumberFormat="1" applyFont="1" applyBorder="1" applyAlignment="1" applyProtection="1">
      <alignment horizontal="center" wrapText="1"/>
      <protection locked="0"/>
    </xf>
    <xf numFmtId="0" fontId="5" fillId="7" borderId="35" xfId="0" applyFont="1" applyFill="1" applyBorder="1" applyAlignment="1">
      <alignment horizontal="left" wrapText="1"/>
    </xf>
    <xf numFmtId="0" fontId="5" fillId="7" borderId="31" xfId="0" applyFont="1" applyFill="1" applyBorder="1" applyAlignment="1">
      <alignment horizontal="left" wrapText="1"/>
    </xf>
    <xf numFmtId="0" fontId="5" fillId="7" borderId="25" xfId="0" applyFont="1" applyFill="1" applyBorder="1" applyAlignment="1">
      <alignment horizontal="left" wrapText="1"/>
    </xf>
    <xf numFmtId="0" fontId="5" fillId="7" borderId="33" xfId="0" applyFont="1" applyFill="1" applyBorder="1" applyAlignment="1">
      <alignment horizontal="left" wrapText="1"/>
    </xf>
    <xf numFmtId="0" fontId="5" fillId="7" borderId="24" xfId="0" applyFont="1" applyFill="1" applyBorder="1" applyAlignment="1">
      <alignment horizontal="left" wrapText="1"/>
    </xf>
    <xf numFmtId="3" fontId="0" fillId="6" borderId="25" xfId="3" applyNumberFormat="1" applyFont="1" applyFill="1" applyBorder="1" applyAlignment="1">
      <alignment horizontal="left"/>
    </xf>
    <xf numFmtId="3" fontId="0" fillId="6" borderId="33" xfId="3" applyNumberFormat="1" applyFont="1" applyFill="1" applyBorder="1" applyAlignment="1">
      <alignment horizontal="left"/>
    </xf>
    <xf numFmtId="3" fontId="0" fillId="6" borderId="24" xfId="3" applyNumberFormat="1" applyFont="1" applyFill="1" applyBorder="1" applyAlignment="1">
      <alignment horizontal="left"/>
    </xf>
    <xf numFmtId="0" fontId="0" fillId="8" borderId="1" xfId="0" applyFill="1" applyBorder="1" applyAlignment="1">
      <alignment horizontal="left"/>
    </xf>
    <xf numFmtId="0" fontId="12" fillId="11" borderId="25" xfId="0" applyFont="1" applyFill="1" applyBorder="1" applyAlignment="1">
      <alignment horizontal="left"/>
    </xf>
    <xf numFmtId="0" fontId="12" fillId="11" borderId="33" xfId="0" applyFont="1" applyFill="1" applyBorder="1" applyAlignment="1">
      <alignment horizontal="left"/>
    </xf>
    <xf numFmtId="0" fontId="12" fillId="11" borderId="24" xfId="0" applyFont="1" applyFill="1" applyBorder="1" applyAlignment="1">
      <alignment horizontal="left"/>
    </xf>
    <xf numFmtId="0" fontId="12" fillId="0" borderId="25" xfId="0" applyFont="1" applyFill="1" applyBorder="1" applyAlignment="1">
      <alignment horizontal="left"/>
    </xf>
    <xf numFmtId="0" fontId="12" fillId="0" borderId="33" xfId="0" applyFont="1" applyFill="1" applyBorder="1" applyAlignment="1">
      <alignment horizontal="left"/>
    </xf>
    <xf numFmtId="0" fontId="12" fillId="0" borderId="24" xfId="0" applyFont="1" applyFill="1" applyBorder="1" applyAlignment="1">
      <alignment horizontal="left"/>
    </xf>
    <xf numFmtId="0" fontId="6" fillId="0" borderId="47" xfId="0" applyFont="1" applyFill="1" applyBorder="1" applyAlignment="1" applyProtection="1">
      <alignment vertical="center" wrapText="1"/>
      <protection locked="0"/>
    </xf>
    <xf numFmtId="0" fontId="6" fillId="0" borderId="47" xfId="0" applyFont="1" applyBorder="1" applyAlignment="1">
      <alignment vertical="center" wrapText="1"/>
    </xf>
    <xf numFmtId="0" fontId="0" fillId="8" borderId="25" xfId="0" applyFill="1" applyBorder="1" applyAlignment="1">
      <alignment vertical="center"/>
    </xf>
    <xf numFmtId="0" fontId="0" fillId="8" borderId="33" xfId="0" applyFill="1" applyBorder="1" applyAlignment="1">
      <alignment vertical="center"/>
    </xf>
    <xf numFmtId="0" fontId="0" fillId="8" borderId="24" xfId="0" applyFill="1" applyBorder="1" applyAlignment="1">
      <alignment vertical="center"/>
    </xf>
    <xf numFmtId="0" fontId="0" fillId="8" borderId="25" xfId="0" applyFill="1" applyBorder="1" applyAlignment="1">
      <alignment vertical="center" wrapText="1"/>
    </xf>
    <xf numFmtId="0" fontId="0" fillId="8" borderId="33" xfId="0" applyFill="1" applyBorder="1" applyAlignment="1">
      <alignment vertical="center" wrapText="1"/>
    </xf>
    <xf numFmtId="0" fontId="0" fillId="8" borderId="24" xfId="0" applyFill="1" applyBorder="1" applyAlignment="1">
      <alignment vertical="center" wrapText="1"/>
    </xf>
    <xf numFmtId="0" fontId="0" fillId="8" borderId="25" xfId="0" applyFill="1" applyBorder="1" applyAlignment="1"/>
    <xf numFmtId="0" fontId="0" fillId="8" borderId="33" xfId="0" applyFill="1" applyBorder="1" applyAlignment="1"/>
    <xf numFmtId="0" fontId="0" fillId="8" borderId="24" xfId="0" applyFill="1" applyBorder="1" applyAlignment="1"/>
    <xf numFmtId="0" fontId="0" fillId="8" borderId="25" xfId="0" applyFill="1" applyBorder="1" applyAlignment="1">
      <alignment horizontal="left" wrapText="1"/>
    </xf>
    <xf numFmtId="0" fontId="0" fillId="8" borderId="33" xfId="0" applyFill="1" applyBorder="1" applyAlignment="1">
      <alignment horizontal="left" wrapText="1"/>
    </xf>
    <xf numFmtId="0" fontId="0" fillId="8" borderId="25" xfId="0" applyFill="1" applyBorder="1" applyAlignment="1">
      <alignment horizontal="left" vertical="center"/>
    </xf>
    <xf numFmtId="0" fontId="0" fillId="8" borderId="33" xfId="0" applyFill="1" applyBorder="1" applyAlignment="1">
      <alignment horizontal="left" vertical="center"/>
    </xf>
    <xf numFmtId="0" fontId="0" fillId="8" borderId="24" xfId="0" applyFill="1" applyBorder="1" applyAlignment="1">
      <alignment horizontal="left" vertical="center"/>
    </xf>
    <xf numFmtId="0" fontId="0" fillId="8" borderId="25" xfId="0" applyFill="1" applyBorder="1" applyAlignment="1">
      <alignment horizontal="center" vertical="center"/>
    </xf>
    <xf numFmtId="0" fontId="0" fillId="8" borderId="33" xfId="0" applyFill="1" applyBorder="1" applyAlignment="1">
      <alignment horizontal="center" vertical="center"/>
    </xf>
    <xf numFmtId="0" fontId="0" fillId="8" borderId="24" xfId="0" applyFill="1" applyBorder="1" applyAlignment="1">
      <alignment horizontal="center" vertical="center"/>
    </xf>
    <xf numFmtId="0" fontId="0" fillId="8" borderId="25" xfId="0" applyFill="1" applyBorder="1" applyAlignment="1">
      <alignment horizontal="center"/>
    </xf>
    <xf numFmtId="0" fontId="0" fillId="8" borderId="33" xfId="0" applyFill="1" applyBorder="1" applyAlignment="1">
      <alignment horizontal="center"/>
    </xf>
    <xf numFmtId="0" fontId="0" fillId="8" borderId="24" xfId="0" applyFill="1" applyBorder="1" applyAlignment="1">
      <alignment horizontal="center"/>
    </xf>
    <xf numFmtId="0" fontId="0" fillId="8" borderId="25" xfId="0" applyFill="1" applyBorder="1" applyAlignment="1">
      <alignment horizontal="left"/>
    </xf>
    <xf numFmtId="0" fontId="0" fillId="8" borderId="33" xfId="0" applyFill="1" applyBorder="1" applyAlignment="1">
      <alignment horizontal="left"/>
    </xf>
    <xf numFmtId="0" fontId="0" fillId="8" borderId="24" xfId="0" applyFill="1" applyBorder="1" applyAlignment="1">
      <alignment horizontal="left"/>
    </xf>
    <xf numFmtId="0" fontId="5" fillId="7" borderId="32"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7" borderId="24" xfId="0" applyFont="1" applyFill="1" applyBorder="1" applyAlignment="1">
      <alignment horizontal="center" wrapText="1"/>
    </xf>
    <xf numFmtId="9" fontId="0" fillId="8" borderId="1" xfId="3" applyFont="1" applyFill="1" applyBorder="1" applyAlignment="1">
      <alignment horizontal="left"/>
    </xf>
    <xf numFmtId="0" fontId="0" fillId="8" borderId="1" xfId="0" applyFont="1" applyFill="1" applyBorder="1" applyAlignment="1">
      <alignment horizontal="left"/>
    </xf>
    <xf numFmtId="0" fontId="0" fillId="8" borderId="25" xfId="0" applyFont="1" applyFill="1" applyBorder="1" applyAlignment="1">
      <alignment horizontal="left"/>
    </xf>
    <xf numFmtId="0" fontId="0" fillId="8" borderId="33" xfId="0" applyFont="1" applyFill="1" applyBorder="1" applyAlignment="1">
      <alignment horizontal="left"/>
    </xf>
    <xf numFmtId="0" fontId="0" fillId="8" borderId="24" xfId="0" applyFont="1" applyFill="1" applyBorder="1" applyAlignment="1">
      <alignment horizontal="left"/>
    </xf>
    <xf numFmtId="0" fontId="0" fillId="8" borderId="1" xfId="0" applyFont="1" applyFill="1" applyBorder="1" applyAlignment="1">
      <alignment horizontal="center"/>
    </xf>
    <xf numFmtId="0" fontId="0" fillId="8" borderId="25" xfId="0" applyFont="1" applyFill="1" applyBorder="1" applyAlignment="1">
      <alignment horizontal="center"/>
    </xf>
    <xf numFmtId="0" fontId="0" fillId="8" borderId="33" xfId="0" applyFont="1" applyFill="1" applyBorder="1" applyAlignment="1">
      <alignment horizontal="center"/>
    </xf>
    <xf numFmtId="0" fontId="0" fillId="8" borderId="24" xfId="0" applyFont="1" applyFill="1" applyBorder="1" applyAlignment="1">
      <alignment horizontal="center"/>
    </xf>
    <xf numFmtId="0" fontId="0" fillId="8" borderId="1" xfId="0" applyFont="1" applyFill="1" applyBorder="1" applyAlignment="1">
      <alignment horizontal="left" wrapText="1"/>
    </xf>
    <xf numFmtId="0" fontId="0" fillId="0" borderId="0" xfId="0" applyFont="1" applyAlignment="1">
      <alignment horizontal="left" wrapText="1"/>
    </xf>
    <xf numFmtId="0" fontId="0" fillId="0" borderId="0" xfId="0" applyFont="1" applyFill="1" applyBorder="1" applyAlignment="1">
      <alignment horizontal="left"/>
    </xf>
    <xf numFmtId="0" fontId="0" fillId="8" borderId="24" xfId="0" applyFill="1" applyBorder="1" applyAlignment="1">
      <alignment horizontal="left" wrapText="1"/>
    </xf>
    <xf numFmtId="0" fontId="0" fillId="8" borderId="25" xfId="0" applyFill="1" applyBorder="1" applyAlignment="1">
      <alignment horizontal="center" wrapText="1"/>
    </xf>
    <xf numFmtId="0" fontId="0" fillId="8" borderId="33" xfId="0" applyFill="1" applyBorder="1" applyAlignment="1">
      <alignment horizontal="center" wrapText="1"/>
    </xf>
    <xf numFmtId="0" fontId="0" fillId="8" borderId="24" xfId="0" applyFill="1" applyBorder="1" applyAlignment="1">
      <alignment horizontal="center" wrapText="1"/>
    </xf>
    <xf numFmtId="0" fontId="0" fillId="0" borderId="0" xfId="0" applyAlignment="1">
      <alignment horizontal="left" wrapText="1"/>
    </xf>
    <xf numFmtId="0" fontId="0" fillId="8" borderId="1" xfId="0" applyFill="1" applyBorder="1" applyAlignment="1">
      <alignment horizontal="left" wrapText="1"/>
    </xf>
    <xf numFmtId="0" fontId="0" fillId="8" borderId="51" xfId="0" applyFill="1" applyBorder="1" applyAlignment="1">
      <alignment horizontal="left"/>
    </xf>
    <xf numFmtId="0" fontId="0" fillId="8" borderId="0" xfId="0" applyFill="1" applyBorder="1" applyAlignment="1">
      <alignment horizontal="left"/>
    </xf>
    <xf numFmtId="0" fontId="0" fillId="8" borderId="31" xfId="0" applyFill="1" applyBorder="1" applyAlignment="1">
      <alignment horizontal="left"/>
    </xf>
    <xf numFmtId="0" fontId="0" fillId="8" borderId="37" xfId="0" applyFill="1" applyBorder="1" applyAlignment="1">
      <alignment horizontal="left" vertical="center"/>
    </xf>
    <xf numFmtId="0" fontId="0" fillId="8" borderId="34" xfId="0" applyFill="1" applyBorder="1" applyAlignment="1">
      <alignment horizontal="left" vertical="center"/>
    </xf>
    <xf numFmtId="0" fontId="0" fillId="8" borderId="38" xfId="0" applyFill="1" applyBorder="1" applyAlignment="1">
      <alignment horizontal="left" vertical="center"/>
    </xf>
    <xf numFmtId="0" fontId="0" fillId="8" borderId="36" xfId="0" applyFill="1" applyBorder="1" applyAlignment="1">
      <alignment horizontal="left" vertical="center"/>
    </xf>
    <xf numFmtId="0" fontId="0" fillId="8" borderId="39" xfId="0" applyFill="1" applyBorder="1" applyAlignment="1">
      <alignment horizontal="left" vertical="center"/>
    </xf>
    <xf numFmtId="0" fontId="0" fillId="8" borderId="23" xfId="0" applyFill="1" applyBorder="1" applyAlignment="1">
      <alignment horizontal="left" vertical="center"/>
    </xf>
    <xf numFmtId="0" fontId="0" fillId="8" borderId="34" xfId="0" applyFill="1" applyBorder="1" applyAlignment="1">
      <alignment horizontal="left"/>
    </xf>
    <xf numFmtId="0" fontId="0" fillId="8" borderId="38" xfId="0" applyFill="1" applyBorder="1" applyAlignment="1">
      <alignment horizontal="left"/>
    </xf>
    <xf numFmtId="0" fontId="0" fillId="0" borderId="0" xfId="0" applyAlignment="1">
      <alignment horizontal="center" wrapText="1"/>
    </xf>
    <xf numFmtId="0" fontId="0" fillId="8" borderId="39" xfId="0" applyFill="1" applyBorder="1" applyAlignment="1">
      <alignment horizontal="left"/>
    </xf>
    <xf numFmtId="0" fontId="0" fillId="8" borderId="23" xfId="0" applyFill="1" applyBorder="1" applyAlignment="1">
      <alignment horizontal="left"/>
    </xf>
    <xf numFmtId="0" fontId="0" fillId="0" borderId="16" xfId="0" applyBorder="1" applyAlignment="1">
      <alignment horizontal="center" wrapText="1"/>
    </xf>
    <xf numFmtId="0" fontId="0" fillId="0" borderId="18" xfId="0" applyBorder="1" applyAlignment="1">
      <alignment horizontal="center"/>
    </xf>
    <xf numFmtId="0" fontId="0" fillId="0" borderId="20" xfId="0" applyBorder="1" applyAlignment="1">
      <alignment horizontal="center"/>
    </xf>
    <xf numFmtId="0" fontId="22" fillId="9" borderId="77" xfId="0" applyFont="1" applyFill="1" applyBorder="1" applyAlignment="1">
      <alignment horizontal="center" vertical="center" wrapText="1"/>
    </xf>
    <xf numFmtId="0" fontId="22" fillId="9" borderId="74" xfId="0" applyFont="1" applyFill="1" applyBorder="1" applyAlignment="1">
      <alignment horizontal="center" vertical="center" wrapText="1"/>
    </xf>
    <xf numFmtId="0" fontId="22" fillId="9" borderId="78" xfId="0" applyFont="1" applyFill="1" applyBorder="1" applyAlignment="1">
      <alignment horizontal="center" vertical="center" wrapText="1"/>
    </xf>
    <xf numFmtId="0" fontId="22" fillId="0" borderId="77"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77" xfId="0" applyFont="1" applyFill="1" applyBorder="1" applyAlignment="1">
      <alignment horizontal="center" vertical="center" wrapText="1"/>
    </xf>
    <xf numFmtId="0" fontId="22" fillId="0" borderId="74" xfId="0" applyFont="1" applyFill="1" applyBorder="1" applyAlignment="1">
      <alignment horizontal="center" vertical="center" wrapText="1"/>
    </xf>
    <xf numFmtId="0" fontId="22" fillId="0" borderId="75" xfId="0" applyFont="1" applyFill="1" applyBorder="1" applyAlignment="1">
      <alignment horizontal="center" vertical="center" wrapText="1"/>
    </xf>
    <xf numFmtId="0" fontId="22" fillId="0" borderId="78" xfId="0" applyFont="1" applyFill="1" applyBorder="1" applyAlignment="1">
      <alignment horizontal="center" vertical="center" wrapText="1"/>
    </xf>
    <xf numFmtId="0" fontId="22" fillId="9" borderId="72" xfId="0" applyFont="1" applyFill="1" applyBorder="1" applyAlignment="1">
      <alignment horizontal="center" vertical="center" wrapText="1"/>
    </xf>
    <xf numFmtId="0" fontId="22" fillId="9" borderId="75" xfId="0" applyFont="1" applyFill="1" applyBorder="1" applyAlignment="1">
      <alignment horizontal="center" vertical="center" wrapText="1"/>
    </xf>
    <xf numFmtId="0" fontId="20" fillId="16" borderId="106" xfId="0" applyFont="1" applyFill="1" applyBorder="1" applyAlignment="1">
      <alignment horizontal="center" vertical="center" textRotation="90" wrapText="1"/>
    </xf>
    <xf numFmtId="0" fontId="20" fillId="16" borderId="107" xfId="0" applyFont="1" applyFill="1" applyBorder="1" applyAlignment="1">
      <alignment horizontal="center" vertical="center" textRotation="90" wrapText="1"/>
    </xf>
    <xf numFmtId="0" fontId="20" fillId="16" borderId="108" xfId="0" applyFont="1" applyFill="1" applyBorder="1" applyAlignment="1">
      <alignment horizontal="center" vertical="center" textRotation="90" wrapText="1"/>
    </xf>
    <xf numFmtId="0" fontId="20" fillId="16" borderId="59" xfId="0" applyFont="1" applyFill="1" applyBorder="1" applyAlignment="1">
      <alignment horizontal="center" vertical="center" textRotation="90" wrapText="1"/>
    </xf>
    <xf numFmtId="0" fontId="20" fillId="16" borderId="104" xfId="0" applyFont="1" applyFill="1" applyBorder="1" applyAlignment="1">
      <alignment horizontal="center" vertical="center" textRotation="90" wrapText="1"/>
    </xf>
    <xf numFmtId="0" fontId="20" fillId="16" borderId="105" xfId="0" applyFont="1" applyFill="1" applyBorder="1" applyAlignment="1">
      <alignment horizontal="center" vertical="center" textRotation="90" wrapText="1"/>
    </xf>
    <xf numFmtId="0" fontId="6" fillId="0" borderId="63" xfId="0" applyFont="1" applyBorder="1" applyAlignment="1">
      <alignment horizontal="center"/>
    </xf>
    <xf numFmtId="0" fontId="6" fillId="0" borderId="0" xfId="0" applyFont="1" applyAlignment="1">
      <alignment horizontal="center"/>
    </xf>
    <xf numFmtId="0" fontId="22" fillId="0" borderId="72" xfId="0" applyFont="1" applyFill="1" applyBorder="1" applyAlignment="1">
      <alignment horizontal="center" vertical="center" wrapText="1"/>
    </xf>
    <xf numFmtId="0" fontId="11" fillId="12" borderId="64" xfId="0" applyFont="1" applyFill="1" applyBorder="1" applyAlignment="1">
      <alignment horizontal="center" vertical="center" wrapText="1"/>
    </xf>
    <xf numFmtId="0" fontId="11" fillId="12" borderId="0" xfId="0" applyFont="1" applyFill="1" applyBorder="1" applyAlignment="1">
      <alignment horizontal="center" vertical="center" wrapText="1"/>
    </xf>
    <xf numFmtId="0" fontId="11" fillId="12" borderId="81" xfId="0" applyFont="1" applyFill="1" applyBorder="1" applyAlignment="1">
      <alignment horizontal="center" vertical="center" wrapText="1"/>
    </xf>
    <xf numFmtId="0" fontId="11" fillId="12" borderId="0" xfId="0" applyFont="1" applyFill="1" applyBorder="1" applyAlignment="1">
      <alignment horizontal="center" vertical="center"/>
    </xf>
    <xf numFmtId="0" fontId="31" fillId="17" borderId="83" xfId="0" applyFont="1" applyFill="1" applyBorder="1" applyAlignment="1">
      <alignment horizontal="center" vertical="center" wrapText="1" readingOrder="1"/>
    </xf>
    <xf numFmtId="0" fontId="31" fillId="17" borderId="84" xfId="0" applyFont="1" applyFill="1" applyBorder="1" applyAlignment="1">
      <alignment horizontal="center" vertical="center" wrapText="1" readingOrder="1"/>
    </xf>
    <xf numFmtId="0" fontId="31" fillId="17" borderId="85" xfId="0" applyFont="1" applyFill="1" applyBorder="1" applyAlignment="1">
      <alignment horizontal="center" vertical="center" wrapText="1" readingOrder="1"/>
    </xf>
    <xf numFmtId="0" fontId="31" fillId="4" borderId="83" xfId="0" applyFont="1" applyFill="1" applyBorder="1" applyAlignment="1">
      <alignment horizontal="center" vertical="center" wrapText="1" readingOrder="1"/>
    </xf>
    <xf numFmtId="0" fontId="31" fillId="4" borderId="84" xfId="0" applyFont="1" applyFill="1" applyBorder="1" applyAlignment="1">
      <alignment horizontal="center" vertical="center" wrapText="1" readingOrder="1"/>
    </xf>
    <xf numFmtId="0" fontId="31" fillId="4" borderId="85" xfId="0" applyFont="1" applyFill="1" applyBorder="1" applyAlignment="1">
      <alignment horizontal="center" vertical="center" wrapText="1" readingOrder="1"/>
    </xf>
    <xf numFmtId="165" fontId="32" fillId="13" borderId="83" xfId="1" applyNumberFormat="1" applyFont="1" applyFill="1" applyBorder="1" applyAlignment="1">
      <alignment horizontal="left" vertical="center" wrapText="1" readingOrder="1"/>
    </xf>
    <xf numFmtId="165" fontId="32" fillId="13" borderId="84" xfId="1" applyNumberFormat="1" applyFont="1" applyFill="1" applyBorder="1" applyAlignment="1">
      <alignment horizontal="left" vertical="center" wrapText="1" readingOrder="1"/>
    </xf>
    <xf numFmtId="0" fontId="0" fillId="0" borderId="97" xfId="0" applyBorder="1" applyAlignment="1">
      <alignment horizontal="left" vertical="center" wrapText="1"/>
    </xf>
    <xf numFmtId="0" fontId="0" fillId="0" borderId="109" xfId="0" applyBorder="1" applyAlignment="1">
      <alignment horizontal="left" vertical="center" wrapText="1"/>
    </xf>
    <xf numFmtId="0" fontId="8" fillId="12" borderId="60" xfId="0" applyFont="1" applyFill="1" applyBorder="1" applyAlignment="1">
      <alignment horizontal="left" vertical="center" wrapText="1"/>
    </xf>
    <xf numFmtId="0" fontId="8" fillId="12" borderId="63" xfId="0" applyFont="1" applyFill="1" applyBorder="1" applyAlignment="1">
      <alignment horizontal="left" vertical="center" wrapText="1"/>
    </xf>
    <xf numFmtId="0" fontId="8" fillId="12" borderId="62" xfId="0" applyFont="1" applyFill="1" applyBorder="1" applyAlignment="1">
      <alignment horizontal="left" vertical="center" wrapText="1"/>
    </xf>
    <xf numFmtId="0" fontId="8" fillId="12" borderId="64" xfId="0" applyFont="1" applyFill="1" applyBorder="1" applyAlignment="1">
      <alignment horizontal="left" vertical="center" wrapText="1"/>
    </xf>
    <xf numFmtId="0" fontId="41" fillId="14" borderId="60" xfId="0" applyFont="1" applyFill="1" applyBorder="1" applyAlignment="1">
      <alignment horizontal="center" vertical="center"/>
    </xf>
    <xf numFmtId="0" fontId="41" fillId="14" borderId="61" xfId="0" applyFont="1" applyFill="1" applyBorder="1" applyAlignment="1">
      <alignment horizontal="center" vertical="center"/>
    </xf>
    <xf numFmtId="0" fontId="41" fillId="14" borderId="62" xfId="0" applyFont="1" applyFill="1" applyBorder="1" applyAlignment="1">
      <alignment horizontal="center" vertical="center"/>
    </xf>
    <xf numFmtId="0" fontId="41" fillId="15" borderId="60" xfId="0" applyFont="1" applyFill="1" applyBorder="1" applyAlignment="1">
      <alignment horizontal="center" vertical="center"/>
    </xf>
    <xf numFmtId="0" fontId="41" fillId="15" borderId="61" xfId="0" applyFont="1" applyFill="1" applyBorder="1" applyAlignment="1">
      <alignment horizontal="center" vertical="center"/>
    </xf>
    <xf numFmtId="0" fontId="41" fillId="15" borderId="62" xfId="0" applyFont="1" applyFill="1" applyBorder="1" applyAlignment="1">
      <alignment horizontal="center" vertical="center"/>
    </xf>
    <xf numFmtId="0" fontId="20" fillId="16" borderId="90" xfId="0" applyFont="1" applyFill="1" applyBorder="1" applyAlignment="1">
      <alignment horizontal="center" vertical="center" textRotation="90" wrapText="1"/>
    </xf>
    <xf numFmtId="0" fontId="20" fillId="16" borderId="91" xfId="0" applyFont="1" applyFill="1" applyBorder="1" applyAlignment="1">
      <alignment horizontal="center" vertical="center" textRotation="90" wrapText="1"/>
    </xf>
    <xf numFmtId="0" fontId="42" fillId="16" borderId="60" xfId="0" applyFont="1" applyFill="1" applyBorder="1" applyAlignment="1">
      <alignment horizontal="center"/>
    </xf>
    <xf numFmtId="0" fontId="42" fillId="16" borderId="61" xfId="0" applyFont="1" applyFill="1" applyBorder="1" applyAlignment="1">
      <alignment horizontal="center"/>
    </xf>
    <xf numFmtId="0" fontId="42" fillId="16" borderId="62" xfId="0" applyFont="1" applyFill="1" applyBorder="1" applyAlignment="1">
      <alignment horizontal="center"/>
    </xf>
    <xf numFmtId="0" fontId="37" fillId="15" borderId="61" xfId="0" applyFont="1" applyFill="1" applyBorder="1" applyAlignment="1">
      <alignment vertical="center"/>
    </xf>
    <xf numFmtId="0" fontId="37" fillId="15" borderId="62" xfId="0" applyFont="1" applyFill="1" applyBorder="1" applyAlignment="1">
      <alignment vertical="center"/>
    </xf>
    <xf numFmtId="0" fontId="18" fillId="0" borderId="73" xfId="0" applyFont="1" applyFill="1" applyBorder="1" applyAlignment="1">
      <alignment horizontal="center" vertical="center" wrapText="1"/>
    </xf>
    <xf numFmtId="165" fontId="6" fillId="0" borderId="52" xfId="1" applyNumberFormat="1" applyFont="1" applyBorder="1" applyAlignment="1">
      <alignment horizontal="right" vertical="center" wrapText="1"/>
    </xf>
    <xf numFmtId="165" fontId="18" fillId="0" borderId="66" xfId="1" applyNumberFormat="1" applyFont="1" applyBorder="1" applyAlignment="1">
      <alignment horizontal="right" vertical="center" wrapText="1"/>
    </xf>
    <xf numFmtId="0" fontId="0" fillId="16" borderId="100" xfId="0" applyFont="1" applyFill="1" applyBorder="1" applyAlignment="1">
      <alignment horizontal="center"/>
    </xf>
    <xf numFmtId="165" fontId="0" fillId="0" borderId="88" xfId="0" applyNumberFormat="1" applyFont="1" applyBorder="1"/>
    <xf numFmtId="165" fontId="0" fillId="0" borderId="101" xfId="0" applyNumberFormat="1" applyFont="1" applyBorder="1"/>
    <xf numFmtId="165" fontId="6" fillId="0" borderId="87" xfId="1" applyNumberFormat="1" applyFont="1" applyBorder="1" applyAlignment="1">
      <alignment horizontal="right" vertical="center" wrapText="1"/>
    </xf>
    <xf numFmtId="165" fontId="18" fillId="0" borderId="87" xfId="1" applyNumberFormat="1" applyFont="1" applyBorder="1" applyAlignment="1">
      <alignment horizontal="right" vertical="center" wrapText="1"/>
    </xf>
    <xf numFmtId="165" fontId="17" fillId="13" borderId="54" xfId="1" applyNumberFormat="1" applyFont="1" applyFill="1" applyBorder="1" applyAlignment="1">
      <alignment horizontal="center" vertical="center"/>
    </xf>
    <xf numFmtId="165" fontId="18" fillId="0" borderId="71" xfId="1" applyNumberFormat="1" applyFont="1" applyFill="1" applyBorder="1" applyAlignment="1">
      <alignment horizontal="right" vertical="center" wrapText="1"/>
    </xf>
    <xf numFmtId="165" fontId="18" fillId="9" borderId="71" xfId="1" applyNumberFormat="1" applyFont="1" applyFill="1" applyBorder="1" applyAlignment="1">
      <alignment horizontal="right" vertical="center" wrapText="1"/>
    </xf>
    <xf numFmtId="165" fontId="18" fillId="0" borderId="65" xfId="1" applyNumberFormat="1" applyFont="1" applyBorder="1" applyAlignment="1">
      <alignment horizontal="right" vertical="center" wrapText="1"/>
    </xf>
    <xf numFmtId="165" fontId="43" fillId="0" borderId="57" xfId="1" applyNumberFormat="1" applyFont="1" applyBorder="1" applyAlignment="1">
      <alignment horizontal="left" vertical="center" wrapText="1"/>
    </xf>
    <xf numFmtId="165" fontId="43" fillId="0" borderId="71" xfId="1" applyNumberFormat="1" applyFont="1" applyBorder="1" applyAlignment="1">
      <alignment horizontal="left" vertical="center" wrapText="1"/>
    </xf>
    <xf numFmtId="165" fontId="5" fillId="9" borderId="76" xfId="1" applyNumberFormat="1" applyFont="1" applyFill="1" applyBorder="1" applyAlignment="1">
      <alignment horizontal="center" vertical="center"/>
    </xf>
    <xf numFmtId="0" fontId="18" fillId="0" borderId="110" xfId="0" applyFont="1" applyFill="1" applyBorder="1" applyAlignment="1">
      <alignment horizontal="left" vertical="center"/>
    </xf>
    <xf numFmtId="0" fontId="0" fillId="0" borderId="111" xfId="0" applyFont="1" applyFill="1" applyBorder="1" applyAlignment="1"/>
    <xf numFmtId="165" fontId="18" fillId="0" borderId="102" xfId="1" applyNumberFormat="1" applyFont="1" applyFill="1" applyBorder="1" applyAlignment="1">
      <alignment horizontal="left" vertical="center"/>
    </xf>
    <xf numFmtId="165" fontId="18" fillId="9" borderId="102" xfId="1" applyNumberFormat="1" applyFont="1" applyFill="1" applyBorder="1" applyAlignment="1">
      <alignment horizontal="left" vertical="center"/>
    </xf>
    <xf numFmtId="165" fontId="43" fillId="9" borderId="102" xfId="1" applyNumberFormat="1" applyFont="1" applyFill="1" applyBorder="1" applyAlignment="1">
      <alignment horizontal="left" vertical="center"/>
    </xf>
    <xf numFmtId="165" fontId="18" fillId="4" borderId="102" xfId="1" applyNumberFormat="1" applyFont="1" applyFill="1" applyBorder="1" applyAlignment="1">
      <alignment horizontal="left" vertical="center"/>
    </xf>
    <xf numFmtId="165" fontId="5" fillId="9" borderId="103" xfId="1" applyNumberFormat="1" applyFont="1" applyFill="1" applyBorder="1" applyAlignment="1">
      <alignment horizontal="center" vertical="center"/>
    </xf>
    <xf numFmtId="165" fontId="43" fillId="0" borderId="52" xfId="1" applyNumberFormat="1" applyFont="1" applyBorder="1" applyAlignment="1">
      <alignment horizontal="left" vertical="center" wrapText="1"/>
    </xf>
    <xf numFmtId="165" fontId="5" fillId="0" borderId="88" xfId="0" applyNumberFormat="1" applyFont="1" applyBorder="1"/>
    <xf numFmtId="165" fontId="5" fillId="0" borderId="101" xfId="0" applyNumberFormat="1" applyFont="1" applyBorder="1"/>
  </cellXfs>
  <cellStyles count="6">
    <cellStyle name="Comma" xfId="1" builtinId="3"/>
    <cellStyle name="Currency" xfId="2" builtinId="4"/>
    <cellStyle name="Hyperlink" xfId="5" builtinId="8"/>
    <cellStyle name="Normal" xfId="0" builtinId="0"/>
    <cellStyle name="Normal 15" xfId="4"/>
    <cellStyle name="Percent" xfId="3" builtinId="5"/>
  </cellStyles>
  <dxfs count="18">
    <dxf>
      <font>
        <color rgb="FF9C0006"/>
      </font>
      <fill>
        <patternFill>
          <bgColor rgb="FFFFC7CE"/>
        </patternFill>
      </fill>
    </dxf>
    <dxf>
      <font>
        <color theme="9" tint="-0.24994659260841701"/>
      </font>
      <fill>
        <patternFill>
          <bgColor rgb="FF99FF99"/>
        </patternFill>
      </fill>
    </dxf>
    <dxf>
      <font>
        <color rgb="FF9C0006"/>
      </font>
      <fill>
        <patternFill>
          <bgColor rgb="FFFFC7CE"/>
        </patternFill>
      </fill>
    </dxf>
    <dxf>
      <font>
        <color theme="9" tint="-0.24994659260841701"/>
      </font>
      <fill>
        <patternFill>
          <bgColor rgb="FF99FF99"/>
        </patternFill>
      </fill>
    </dxf>
    <dxf>
      <font>
        <color rgb="FF9C0006"/>
      </font>
      <fill>
        <patternFill>
          <bgColor rgb="FFFFC7CE"/>
        </patternFill>
      </fill>
    </dxf>
    <dxf>
      <font>
        <color theme="9" tint="-0.24994659260841701"/>
      </font>
      <fill>
        <patternFill>
          <bgColor rgb="FF99FF99"/>
        </patternFill>
      </fill>
    </dxf>
    <dxf>
      <font>
        <color rgb="FF9C0006"/>
      </font>
      <fill>
        <patternFill>
          <bgColor rgb="FFFFC7CE"/>
        </patternFill>
      </fill>
    </dxf>
    <dxf>
      <font>
        <color theme="9" tint="-0.24994659260841701"/>
      </font>
      <fill>
        <patternFill>
          <bgColor rgb="FF99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9" tint="-0.24994659260841701"/>
      </font>
      <fill>
        <patternFill>
          <bgColor rgb="FF99FF99"/>
        </patternFill>
      </fill>
    </dxf>
    <dxf>
      <font>
        <color rgb="FF9C0006"/>
      </font>
      <fill>
        <patternFill>
          <bgColor rgb="FFFFC7CE"/>
        </patternFill>
      </fill>
    </dxf>
    <dxf>
      <font>
        <color theme="9" tint="-0.24994659260841701"/>
      </font>
      <fill>
        <patternFill>
          <bgColor rgb="FF99FF99"/>
        </patternFill>
      </fill>
    </dxf>
    <dxf>
      <font>
        <color rgb="FF9C0006"/>
      </font>
      <fill>
        <patternFill>
          <bgColor rgb="FFFFC7CE"/>
        </patternFill>
      </fill>
    </dxf>
    <dxf>
      <font>
        <color theme="9" tint="-0.24994659260841701"/>
      </font>
      <fill>
        <patternFill>
          <bgColor rgb="FF99FF99"/>
        </patternFill>
      </fill>
    </dxf>
    <dxf>
      <font>
        <color rgb="FF9C0006"/>
      </font>
      <fill>
        <patternFill>
          <bgColor rgb="FFFFC7CE"/>
        </patternFill>
      </fill>
    </dxf>
  </dxfs>
  <tableStyles count="0" defaultTableStyle="TableStyleMedium2" defaultPivotStyle="PivotStyleLight16"/>
  <colors>
    <mruColors>
      <color rgb="FF99FF99"/>
      <color rgb="FFFF00FF"/>
      <color rgb="FFFF5050"/>
      <color rgb="FFFFFF99"/>
      <color rgb="FF00FF00"/>
      <color rgb="FFFFFF00"/>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Changes!A1"/><Relationship Id="rId13" Type="http://schemas.openxmlformats.org/officeDocument/2006/relationships/hyperlink" Target="#CALC_Funding!A1"/><Relationship Id="rId3" Type="http://schemas.openxmlformats.org/officeDocument/2006/relationships/hyperlink" Target="#OUT_Cost_Summary!A1"/><Relationship Id="rId7" Type="http://schemas.openxmlformats.org/officeDocument/2006/relationships/hyperlink" Target="#Quality_Assurance!A1"/><Relationship Id="rId12" Type="http://schemas.openxmlformats.org/officeDocument/2006/relationships/hyperlink" Target="#PRO_Fleet_Assumptions!A1"/><Relationship Id="rId2" Type="http://schemas.openxmlformats.org/officeDocument/2006/relationships/hyperlink" Target="#CALC_Current_option!A1"/><Relationship Id="rId1" Type="http://schemas.openxmlformats.org/officeDocument/2006/relationships/hyperlink" Target="#INP_Fleet_Assumptions!A1"/><Relationship Id="rId6" Type="http://schemas.openxmlformats.org/officeDocument/2006/relationships/hyperlink" Target="#Cover!A1"/><Relationship Id="rId11" Type="http://schemas.openxmlformats.org/officeDocument/2006/relationships/hyperlink" Target="#OUT_FinCase_Summary!A1"/><Relationship Id="rId5" Type="http://schemas.openxmlformats.org/officeDocument/2006/relationships/hyperlink" Target="#Map!A1"/><Relationship Id="rId15" Type="http://schemas.openxmlformats.org/officeDocument/2006/relationships/hyperlink" Target="#INP_Aggegation_Categories!A1"/><Relationship Id="rId10" Type="http://schemas.openxmlformats.org/officeDocument/2006/relationships/hyperlink" Target="#INP_Assumptions!A1"/><Relationship Id="rId4" Type="http://schemas.openxmlformats.org/officeDocument/2006/relationships/hyperlink" Target="#INP_Cordon_Assumptions!A1"/><Relationship Id="rId9" Type="http://schemas.openxmlformats.org/officeDocument/2006/relationships/hyperlink" Target="#INP_T_Model_inputs!A1"/><Relationship Id="rId14" Type="http://schemas.openxmlformats.org/officeDocument/2006/relationships/hyperlink" Target="#CALC_Interest_on_loan!A1"/></Relationships>
</file>

<file path=xl/drawings/drawing1.xml><?xml version="1.0" encoding="utf-8"?>
<xdr:wsDr xmlns:xdr="http://schemas.openxmlformats.org/drawingml/2006/spreadsheetDrawing" xmlns:a="http://schemas.openxmlformats.org/drawingml/2006/main">
  <xdr:twoCellAnchor>
    <xdr:from>
      <xdr:col>15</xdr:col>
      <xdr:colOff>495300</xdr:colOff>
      <xdr:row>5</xdr:row>
      <xdr:rowOff>11430</xdr:rowOff>
    </xdr:from>
    <xdr:to>
      <xdr:col>18</xdr:col>
      <xdr:colOff>104775</xdr:colOff>
      <xdr:row>26</xdr:row>
      <xdr:rowOff>99060</xdr:rowOff>
    </xdr:to>
    <xdr:sp macro="" textlink="">
      <xdr:nvSpPr>
        <xdr:cNvPr id="2" name="Rectangle 1">
          <a:extLst>
            <a:ext uri="{FF2B5EF4-FFF2-40B4-BE49-F238E27FC236}">
              <a16:creationId xmlns:a16="http://schemas.microsoft.com/office/drawing/2014/main" xmlns="" id="{966B92BA-BAD9-4C61-B39D-763A8F3DF67E}"/>
            </a:ext>
          </a:extLst>
        </xdr:cNvPr>
        <xdr:cNvSpPr/>
      </xdr:nvSpPr>
      <xdr:spPr>
        <a:xfrm>
          <a:off x="9441180" y="1002030"/>
          <a:ext cx="1483995" cy="3768090"/>
        </a:xfrm>
        <a:prstGeom prst="rect">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1"/>
        <a:lstStyle/>
        <a:p>
          <a:pPr algn="ctr"/>
          <a:r>
            <a:rPr lang="en-GB" sz="1400" b="1">
              <a:solidFill>
                <a:sysClr val="windowText" lastClr="000000"/>
              </a:solidFill>
            </a:rPr>
            <a:t>Legend:</a:t>
          </a:r>
        </a:p>
      </xdr:txBody>
    </xdr:sp>
    <xdr:clientData/>
  </xdr:twoCellAnchor>
  <xdr:twoCellAnchor>
    <xdr:from>
      <xdr:col>3</xdr:col>
      <xdr:colOff>586875</xdr:colOff>
      <xdr:row>7</xdr:row>
      <xdr:rowOff>135968</xdr:rowOff>
    </xdr:from>
    <xdr:to>
      <xdr:col>4</xdr:col>
      <xdr:colOff>539115</xdr:colOff>
      <xdr:row>7</xdr:row>
      <xdr:rowOff>148668</xdr:rowOff>
    </xdr:to>
    <xdr:cxnSp macro="">
      <xdr:nvCxnSpPr>
        <xdr:cNvPr id="3" name="Curved Connector 2">
          <a:extLst>
            <a:ext uri="{FF2B5EF4-FFF2-40B4-BE49-F238E27FC236}">
              <a16:creationId xmlns:a16="http://schemas.microsoft.com/office/drawing/2014/main" xmlns="" id="{B7855BF2-6987-47F2-BD2F-9EF356AEC658}"/>
            </a:ext>
          </a:extLst>
        </xdr:cNvPr>
        <xdr:cNvCxnSpPr>
          <a:stCxn id="6" idx="3"/>
          <a:endCxn id="26" idx="1"/>
        </xdr:cNvCxnSpPr>
      </xdr:nvCxnSpPr>
      <xdr:spPr>
        <a:xfrm>
          <a:off x="2034675" y="1477088"/>
          <a:ext cx="577080" cy="12700"/>
        </a:xfrm>
        <a:prstGeom prst="curvedConnector3">
          <a:avLst>
            <a:gd name="adj1" fmla="val 50000"/>
          </a:avLst>
        </a:prstGeom>
        <a:ln w="19050">
          <a:solidFill>
            <a:schemeClr val="bg1">
              <a:lumMod val="50000"/>
            </a:schemeClr>
          </a:solidFill>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577350</xdr:colOff>
      <xdr:row>16</xdr:row>
      <xdr:rowOff>28584</xdr:rowOff>
    </xdr:from>
    <xdr:to>
      <xdr:col>7</xdr:col>
      <xdr:colOff>617220</xdr:colOff>
      <xdr:row>18</xdr:row>
      <xdr:rowOff>55958</xdr:rowOff>
    </xdr:to>
    <xdr:cxnSp macro="">
      <xdr:nvCxnSpPr>
        <xdr:cNvPr id="4" name="Curved Connector 3">
          <a:extLst>
            <a:ext uri="{FF2B5EF4-FFF2-40B4-BE49-F238E27FC236}">
              <a16:creationId xmlns:a16="http://schemas.microsoft.com/office/drawing/2014/main" xmlns="" id="{522AD9BC-D0F5-45ED-B6DD-AAA504804197}"/>
            </a:ext>
          </a:extLst>
        </xdr:cNvPr>
        <xdr:cNvCxnSpPr>
          <a:stCxn id="9" idx="3"/>
          <a:endCxn id="46" idx="1"/>
        </xdr:cNvCxnSpPr>
      </xdr:nvCxnSpPr>
      <xdr:spPr>
        <a:xfrm flipV="1">
          <a:off x="2025150" y="2947044"/>
          <a:ext cx="2539230" cy="377894"/>
        </a:xfrm>
        <a:prstGeom prst="curvedConnector3">
          <a:avLst>
            <a:gd name="adj1" fmla="val 50000"/>
          </a:avLst>
        </a:prstGeom>
        <a:ln w="19050">
          <a:solidFill>
            <a:schemeClr val="bg1">
              <a:lumMod val="50000"/>
            </a:schemeClr>
          </a:solidFill>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600707</xdr:colOff>
      <xdr:row>16</xdr:row>
      <xdr:rowOff>28584</xdr:rowOff>
    </xdr:from>
    <xdr:to>
      <xdr:col>12</xdr:col>
      <xdr:colOff>331304</xdr:colOff>
      <xdr:row>18</xdr:row>
      <xdr:rowOff>50782</xdr:rowOff>
    </xdr:to>
    <xdr:cxnSp macro="">
      <xdr:nvCxnSpPr>
        <xdr:cNvPr id="5" name="Curved Connector 4">
          <a:extLst>
            <a:ext uri="{FF2B5EF4-FFF2-40B4-BE49-F238E27FC236}">
              <a16:creationId xmlns:a16="http://schemas.microsoft.com/office/drawing/2014/main" xmlns="" id="{7E8B9DB2-1A8C-41FC-9B25-5207745FA4E4}"/>
            </a:ext>
          </a:extLst>
        </xdr:cNvPr>
        <xdr:cNvCxnSpPr>
          <a:stCxn id="46" idx="3"/>
          <a:endCxn id="8" idx="1"/>
        </xdr:cNvCxnSpPr>
      </xdr:nvCxnSpPr>
      <xdr:spPr>
        <a:xfrm>
          <a:off x="5797547" y="2947044"/>
          <a:ext cx="1605117" cy="372718"/>
        </a:xfrm>
        <a:prstGeom prst="curvedConnector3">
          <a:avLst>
            <a:gd name="adj1" fmla="val 50000"/>
          </a:avLst>
        </a:prstGeom>
        <a:ln w="19050">
          <a:solidFill>
            <a:schemeClr val="bg1">
              <a:lumMod val="50000"/>
            </a:schemeClr>
          </a:solidFill>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5</xdr:row>
      <xdr:rowOff>57150</xdr:rowOff>
    </xdr:from>
    <xdr:to>
      <xdr:col>3</xdr:col>
      <xdr:colOff>586875</xdr:colOff>
      <xdr:row>10</xdr:row>
      <xdr:rowOff>39525</xdr:rowOff>
    </xdr:to>
    <xdr:sp macro="" textlink="">
      <xdr:nvSpPr>
        <xdr:cNvPr id="6" name="Rectangle 5">
          <a:hlinkClick xmlns:r="http://schemas.openxmlformats.org/officeDocument/2006/relationships" r:id="rId1"/>
          <a:extLst>
            <a:ext uri="{FF2B5EF4-FFF2-40B4-BE49-F238E27FC236}">
              <a16:creationId xmlns:a16="http://schemas.microsoft.com/office/drawing/2014/main" xmlns="" id="{8B9172EE-77BF-4E31-A375-368CB6AC7346}"/>
            </a:ext>
          </a:extLst>
        </xdr:cNvPr>
        <xdr:cNvSpPr/>
      </xdr:nvSpPr>
      <xdr:spPr>
        <a:xfrm>
          <a:off x="798195" y="1047750"/>
          <a:ext cx="1236480" cy="858675"/>
        </a:xfrm>
        <a:prstGeom prst="rect">
          <a:avLst/>
        </a:prstGeom>
        <a:solidFill>
          <a:srgbClr val="FFFF99"/>
        </a:solidFill>
        <a:ln w="635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ysClr val="windowText" lastClr="000000"/>
              </a:solidFill>
            </a:rPr>
            <a:t>Fleet</a:t>
          </a:r>
          <a:r>
            <a:rPr lang="en-GB" sz="1200" baseline="0">
              <a:solidFill>
                <a:sysClr val="windowText" lastClr="000000"/>
              </a:solidFill>
            </a:rPr>
            <a:t> Assumptions</a:t>
          </a:r>
          <a:endParaRPr lang="en-GB" sz="1200">
            <a:solidFill>
              <a:sysClr val="windowText" lastClr="000000"/>
            </a:solidFill>
          </a:endParaRPr>
        </a:p>
      </xdr:txBody>
    </xdr:sp>
    <xdr:clientData/>
  </xdr:twoCellAnchor>
  <xdr:twoCellAnchor>
    <xdr:from>
      <xdr:col>7</xdr:col>
      <xdr:colOff>617220</xdr:colOff>
      <xdr:row>8</xdr:row>
      <xdr:rowOff>142130</xdr:rowOff>
    </xdr:from>
    <xdr:to>
      <xdr:col>9</xdr:col>
      <xdr:colOff>600707</xdr:colOff>
      <xdr:row>13</xdr:row>
      <xdr:rowOff>120777</xdr:rowOff>
    </xdr:to>
    <xdr:sp macro="" textlink="">
      <xdr:nvSpPr>
        <xdr:cNvPr id="7" name="Rectangle 6">
          <a:hlinkClick xmlns:r="http://schemas.openxmlformats.org/officeDocument/2006/relationships" r:id="rId2"/>
          <a:extLst>
            <a:ext uri="{FF2B5EF4-FFF2-40B4-BE49-F238E27FC236}">
              <a16:creationId xmlns:a16="http://schemas.microsoft.com/office/drawing/2014/main" xmlns="" id="{D42EBF82-6C1A-4955-8B0A-AD5D55324CBA}"/>
            </a:ext>
          </a:extLst>
        </xdr:cNvPr>
        <xdr:cNvSpPr/>
      </xdr:nvSpPr>
      <xdr:spPr>
        <a:xfrm>
          <a:off x="4564380" y="1666130"/>
          <a:ext cx="1233167" cy="854947"/>
        </a:xfrm>
        <a:prstGeom prst="rect">
          <a:avLst/>
        </a:prstGeom>
        <a:solidFill>
          <a:schemeClr val="accent5">
            <a:lumMod val="60000"/>
            <a:lumOff val="40000"/>
          </a:schemeClr>
        </a:solidFill>
        <a:ln w="6350">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ysClr val="windowText" lastClr="000000"/>
              </a:solidFill>
            </a:rPr>
            <a:t>Current</a:t>
          </a:r>
          <a:r>
            <a:rPr lang="en-GB" sz="1200" baseline="0">
              <a:solidFill>
                <a:sysClr val="windowText" lastClr="000000"/>
              </a:solidFill>
            </a:rPr>
            <a:t> Option*</a:t>
          </a:r>
          <a:endParaRPr lang="en-GB" sz="1200">
            <a:solidFill>
              <a:sysClr val="windowText" lastClr="000000"/>
            </a:solidFill>
          </a:endParaRPr>
        </a:p>
      </xdr:txBody>
    </xdr:sp>
    <xdr:clientData/>
  </xdr:twoCellAnchor>
  <xdr:twoCellAnchor>
    <xdr:from>
      <xdr:col>12</xdr:col>
      <xdr:colOff>331304</xdr:colOff>
      <xdr:row>15</xdr:row>
      <xdr:rowOff>149088</xdr:rowOff>
    </xdr:from>
    <xdr:to>
      <xdr:col>14</xdr:col>
      <xdr:colOff>314790</xdr:colOff>
      <xdr:row>20</xdr:row>
      <xdr:rowOff>127735</xdr:rowOff>
    </xdr:to>
    <xdr:sp macro="" textlink="">
      <xdr:nvSpPr>
        <xdr:cNvPr id="8" name="Rectangle 7">
          <a:hlinkClick xmlns:r="http://schemas.openxmlformats.org/officeDocument/2006/relationships" r:id="rId3"/>
          <a:extLst>
            <a:ext uri="{FF2B5EF4-FFF2-40B4-BE49-F238E27FC236}">
              <a16:creationId xmlns:a16="http://schemas.microsoft.com/office/drawing/2014/main" xmlns="" id="{77E86192-4FAA-4583-B5C0-43769BB7457B}"/>
            </a:ext>
          </a:extLst>
        </xdr:cNvPr>
        <xdr:cNvSpPr/>
      </xdr:nvSpPr>
      <xdr:spPr>
        <a:xfrm>
          <a:off x="7402664" y="2892288"/>
          <a:ext cx="1233166" cy="854947"/>
        </a:xfrm>
        <a:prstGeom prst="rect">
          <a:avLst/>
        </a:prstGeom>
        <a:solidFill>
          <a:srgbClr val="FF505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ysClr val="windowText" lastClr="000000"/>
              </a:solidFill>
            </a:rPr>
            <a:t>Cost Summary</a:t>
          </a:r>
        </a:p>
      </xdr:txBody>
    </xdr:sp>
    <xdr:clientData/>
  </xdr:twoCellAnchor>
  <xdr:twoCellAnchor>
    <xdr:from>
      <xdr:col>1</xdr:col>
      <xdr:colOff>590550</xdr:colOff>
      <xdr:row>15</xdr:row>
      <xdr:rowOff>152400</xdr:rowOff>
    </xdr:from>
    <xdr:to>
      <xdr:col>3</xdr:col>
      <xdr:colOff>577350</xdr:colOff>
      <xdr:row>20</xdr:row>
      <xdr:rowOff>134775</xdr:rowOff>
    </xdr:to>
    <xdr:sp macro="" textlink="">
      <xdr:nvSpPr>
        <xdr:cNvPr id="9" name="Rectangle 8">
          <a:hlinkClick xmlns:r="http://schemas.openxmlformats.org/officeDocument/2006/relationships" r:id="rId4"/>
          <a:extLst>
            <a:ext uri="{FF2B5EF4-FFF2-40B4-BE49-F238E27FC236}">
              <a16:creationId xmlns:a16="http://schemas.microsoft.com/office/drawing/2014/main" xmlns="" id="{6939AF47-7028-4281-92A3-8C3D414CAEE7}"/>
            </a:ext>
          </a:extLst>
        </xdr:cNvPr>
        <xdr:cNvSpPr/>
      </xdr:nvSpPr>
      <xdr:spPr>
        <a:xfrm>
          <a:off x="788670" y="2895600"/>
          <a:ext cx="1236480" cy="858675"/>
        </a:xfrm>
        <a:prstGeom prst="rect">
          <a:avLst/>
        </a:prstGeom>
        <a:solidFill>
          <a:srgbClr val="FFFF99"/>
        </a:solidFill>
        <a:ln w="635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ysClr val="windowText" lastClr="000000"/>
              </a:solidFill>
            </a:rPr>
            <a:t>Cordon Assumptions</a:t>
          </a:r>
        </a:p>
      </xdr:txBody>
    </xdr:sp>
    <xdr:clientData/>
  </xdr:twoCellAnchor>
  <xdr:twoCellAnchor>
    <xdr:from>
      <xdr:col>16</xdr:col>
      <xdr:colOff>0</xdr:colOff>
      <xdr:row>7</xdr:row>
      <xdr:rowOff>53340</xdr:rowOff>
    </xdr:from>
    <xdr:to>
      <xdr:col>17</xdr:col>
      <xdr:colOff>596400</xdr:colOff>
      <xdr:row>10</xdr:row>
      <xdr:rowOff>22230</xdr:rowOff>
    </xdr:to>
    <xdr:sp macro="" textlink="">
      <xdr:nvSpPr>
        <xdr:cNvPr id="10" name="Rectangle 9">
          <a:extLst>
            <a:ext uri="{FF2B5EF4-FFF2-40B4-BE49-F238E27FC236}">
              <a16:creationId xmlns:a16="http://schemas.microsoft.com/office/drawing/2014/main" xmlns="" id="{DD9C2DAC-C9B7-4EB3-8CC8-5CD195C5DB09}"/>
            </a:ext>
          </a:extLst>
        </xdr:cNvPr>
        <xdr:cNvSpPr/>
      </xdr:nvSpPr>
      <xdr:spPr>
        <a:xfrm>
          <a:off x="9570720" y="1394460"/>
          <a:ext cx="1221240" cy="494670"/>
        </a:xfrm>
        <a:prstGeom prst="rect">
          <a:avLst/>
        </a:prstGeom>
        <a:solidFill>
          <a:srgbClr val="FFFF99"/>
        </a:solidFill>
        <a:ln w="635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ysClr val="windowText" lastClr="000000"/>
              </a:solidFill>
            </a:rPr>
            <a:t>Input</a:t>
          </a:r>
          <a:r>
            <a:rPr lang="en-GB" sz="1200" baseline="0">
              <a:solidFill>
                <a:sysClr val="windowText" lastClr="000000"/>
              </a:solidFill>
            </a:rPr>
            <a:t> sheets</a:t>
          </a:r>
          <a:endParaRPr lang="en-GB" sz="1200">
            <a:solidFill>
              <a:sysClr val="windowText" lastClr="000000"/>
            </a:solidFill>
          </a:endParaRPr>
        </a:p>
      </xdr:txBody>
    </xdr:sp>
    <xdr:clientData/>
  </xdr:twoCellAnchor>
  <xdr:twoCellAnchor>
    <xdr:from>
      <xdr:col>16</xdr:col>
      <xdr:colOff>0</xdr:colOff>
      <xdr:row>14</xdr:row>
      <xdr:rowOff>152400</xdr:rowOff>
    </xdr:from>
    <xdr:to>
      <xdr:col>17</xdr:col>
      <xdr:colOff>596400</xdr:colOff>
      <xdr:row>17</xdr:row>
      <xdr:rowOff>121290</xdr:rowOff>
    </xdr:to>
    <xdr:sp macro="" textlink="">
      <xdr:nvSpPr>
        <xdr:cNvPr id="11" name="Rectangle 10">
          <a:extLst>
            <a:ext uri="{FF2B5EF4-FFF2-40B4-BE49-F238E27FC236}">
              <a16:creationId xmlns:a16="http://schemas.microsoft.com/office/drawing/2014/main" xmlns="" id="{5426E165-9310-4DC3-9080-58048DB9A193}"/>
            </a:ext>
          </a:extLst>
        </xdr:cNvPr>
        <xdr:cNvSpPr/>
      </xdr:nvSpPr>
      <xdr:spPr>
        <a:xfrm>
          <a:off x="9570720" y="2720340"/>
          <a:ext cx="1221240" cy="494670"/>
        </a:xfrm>
        <a:prstGeom prst="rect">
          <a:avLst/>
        </a:prstGeom>
        <a:solidFill>
          <a:schemeClr val="accent5">
            <a:lumMod val="60000"/>
            <a:lumOff val="40000"/>
          </a:schemeClr>
        </a:solidFill>
        <a:ln w="6350">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ysClr val="windowText" lastClr="000000"/>
              </a:solidFill>
            </a:rPr>
            <a:t>Calculation sheets</a:t>
          </a:r>
        </a:p>
      </xdr:txBody>
    </xdr:sp>
    <xdr:clientData/>
  </xdr:twoCellAnchor>
  <xdr:twoCellAnchor>
    <xdr:from>
      <xdr:col>16</xdr:col>
      <xdr:colOff>0</xdr:colOff>
      <xdr:row>18</xdr:row>
      <xdr:rowOff>152400</xdr:rowOff>
    </xdr:from>
    <xdr:to>
      <xdr:col>17</xdr:col>
      <xdr:colOff>596400</xdr:colOff>
      <xdr:row>21</xdr:row>
      <xdr:rowOff>121290</xdr:rowOff>
    </xdr:to>
    <xdr:sp macro="" textlink="">
      <xdr:nvSpPr>
        <xdr:cNvPr id="12" name="Rectangle 11">
          <a:extLst>
            <a:ext uri="{FF2B5EF4-FFF2-40B4-BE49-F238E27FC236}">
              <a16:creationId xmlns:a16="http://schemas.microsoft.com/office/drawing/2014/main" xmlns="" id="{6BD8C428-8C5F-47B9-83FD-B18D293014FD}"/>
            </a:ext>
          </a:extLst>
        </xdr:cNvPr>
        <xdr:cNvSpPr/>
      </xdr:nvSpPr>
      <xdr:spPr>
        <a:xfrm>
          <a:off x="9570720" y="3421380"/>
          <a:ext cx="1221240" cy="494670"/>
        </a:xfrm>
        <a:prstGeom prst="rect">
          <a:avLst/>
        </a:prstGeom>
        <a:solidFill>
          <a:srgbClr val="FF505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ysClr val="windowText" lastClr="000000"/>
              </a:solidFill>
            </a:rPr>
            <a:t>Output</a:t>
          </a:r>
          <a:r>
            <a:rPr lang="en-GB" sz="1200" baseline="0">
              <a:solidFill>
                <a:sysClr val="windowText" lastClr="000000"/>
              </a:solidFill>
            </a:rPr>
            <a:t> sheets</a:t>
          </a:r>
          <a:endParaRPr lang="en-GB" sz="1200">
            <a:solidFill>
              <a:sysClr val="windowText" lastClr="000000"/>
            </a:solidFill>
          </a:endParaRPr>
        </a:p>
      </xdr:txBody>
    </xdr:sp>
    <xdr:clientData/>
  </xdr:twoCellAnchor>
  <xdr:twoCellAnchor>
    <xdr:from>
      <xdr:col>16</xdr:col>
      <xdr:colOff>0</xdr:colOff>
      <xdr:row>22</xdr:row>
      <xdr:rowOff>152400</xdr:rowOff>
    </xdr:from>
    <xdr:to>
      <xdr:col>17</xdr:col>
      <xdr:colOff>596400</xdr:colOff>
      <xdr:row>25</xdr:row>
      <xdr:rowOff>121290</xdr:rowOff>
    </xdr:to>
    <xdr:sp macro="" textlink="">
      <xdr:nvSpPr>
        <xdr:cNvPr id="13" name="Rectangle 12">
          <a:extLst>
            <a:ext uri="{FF2B5EF4-FFF2-40B4-BE49-F238E27FC236}">
              <a16:creationId xmlns:a16="http://schemas.microsoft.com/office/drawing/2014/main" xmlns="" id="{34CE925E-2A21-41A4-AF17-22F5CC46E0FE}"/>
            </a:ext>
          </a:extLst>
        </xdr:cNvPr>
        <xdr:cNvSpPr/>
      </xdr:nvSpPr>
      <xdr:spPr>
        <a:xfrm>
          <a:off x="9570720" y="4122420"/>
          <a:ext cx="1221240" cy="494670"/>
        </a:xfrm>
        <a:prstGeom prst="rect">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chemeClr val="bg1"/>
              </a:solidFill>
            </a:rPr>
            <a:t>Administrative</a:t>
          </a:r>
          <a:r>
            <a:rPr lang="en-GB" sz="1200" baseline="0">
              <a:solidFill>
                <a:schemeClr val="bg1"/>
              </a:solidFill>
            </a:rPr>
            <a:t> sheets</a:t>
          </a:r>
          <a:endParaRPr lang="en-GB" sz="1200">
            <a:solidFill>
              <a:schemeClr val="bg1"/>
            </a:solidFill>
          </a:endParaRPr>
        </a:p>
      </xdr:txBody>
    </xdr:sp>
    <xdr:clientData/>
  </xdr:twoCellAnchor>
  <xdr:twoCellAnchor>
    <xdr:from>
      <xdr:col>13</xdr:col>
      <xdr:colOff>93345</xdr:colOff>
      <xdr:row>31</xdr:row>
      <xdr:rowOff>137160</xdr:rowOff>
    </xdr:from>
    <xdr:to>
      <xdr:col>15</xdr:col>
      <xdr:colOff>80145</xdr:colOff>
      <xdr:row>36</xdr:row>
      <xdr:rowOff>119535</xdr:rowOff>
    </xdr:to>
    <xdr:sp macro="" textlink="">
      <xdr:nvSpPr>
        <xdr:cNvPr id="14" name="Rectangle 13">
          <a:hlinkClick xmlns:r="http://schemas.openxmlformats.org/officeDocument/2006/relationships" r:id="rId5"/>
          <a:extLst>
            <a:ext uri="{FF2B5EF4-FFF2-40B4-BE49-F238E27FC236}">
              <a16:creationId xmlns:a16="http://schemas.microsoft.com/office/drawing/2014/main" xmlns="" id="{62BEDA9F-E075-4F8D-9EE3-FBE5BF37A8E2}"/>
            </a:ext>
          </a:extLst>
        </xdr:cNvPr>
        <xdr:cNvSpPr/>
      </xdr:nvSpPr>
      <xdr:spPr>
        <a:xfrm>
          <a:off x="7789545" y="5692140"/>
          <a:ext cx="1236480" cy="858675"/>
        </a:xfrm>
        <a:prstGeom prst="rect">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chemeClr val="bg1"/>
              </a:solidFill>
            </a:rPr>
            <a:t>Map</a:t>
          </a:r>
        </a:p>
        <a:p>
          <a:pPr algn="ctr"/>
          <a:r>
            <a:rPr lang="en-GB" sz="1200">
              <a:solidFill>
                <a:schemeClr val="bg1"/>
              </a:solidFill>
            </a:rPr>
            <a:t>(this</a:t>
          </a:r>
          <a:r>
            <a:rPr lang="en-GB" sz="1200" baseline="0">
              <a:solidFill>
                <a:schemeClr val="bg1"/>
              </a:solidFill>
            </a:rPr>
            <a:t> sheet)</a:t>
          </a:r>
          <a:endParaRPr lang="en-GB" sz="1200">
            <a:solidFill>
              <a:schemeClr val="bg1"/>
            </a:solidFill>
          </a:endParaRPr>
        </a:p>
      </xdr:txBody>
    </xdr:sp>
    <xdr:clientData/>
  </xdr:twoCellAnchor>
  <xdr:twoCellAnchor>
    <xdr:from>
      <xdr:col>4</xdr:col>
      <xdr:colOff>533400</xdr:colOff>
      <xdr:row>31</xdr:row>
      <xdr:rowOff>137160</xdr:rowOff>
    </xdr:from>
    <xdr:to>
      <xdr:col>6</xdr:col>
      <xdr:colOff>504960</xdr:colOff>
      <xdr:row>36</xdr:row>
      <xdr:rowOff>106200</xdr:rowOff>
    </xdr:to>
    <xdr:sp macro="" textlink="">
      <xdr:nvSpPr>
        <xdr:cNvPr id="15" name="Rectangle 14">
          <a:hlinkClick xmlns:r="http://schemas.openxmlformats.org/officeDocument/2006/relationships" r:id="rId6"/>
          <a:extLst>
            <a:ext uri="{FF2B5EF4-FFF2-40B4-BE49-F238E27FC236}">
              <a16:creationId xmlns:a16="http://schemas.microsoft.com/office/drawing/2014/main" xmlns="" id="{9CD63933-FA8C-41BE-8509-B4FB0BC9F727}"/>
            </a:ext>
          </a:extLst>
        </xdr:cNvPr>
        <xdr:cNvSpPr/>
      </xdr:nvSpPr>
      <xdr:spPr>
        <a:xfrm>
          <a:off x="2606040" y="5692140"/>
          <a:ext cx="1221240" cy="845340"/>
        </a:xfrm>
        <a:prstGeom prst="rect">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chemeClr val="bg1"/>
              </a:solidFill>
            </a:rPr>
            <a:t>Cover</a:t>
          </a:r>
        </a:p>
      </xdr:txBody>
    </xdr:sp>
    <xdr:clientData/>
  </xdr:twoCellAnchor>
  <xdr:twoCellAnchor>
    <xdr:from>
      <xdr:col>7</xdr:col>
      <xdr:colOff>413385</xdr:colOff>
      <xdr:row>31</xdr:row>
      <xdr:rowOff>137160</xdr:rowOff>
    </xdr:from>
    <xdr:to>
      <xdr:col>9</xdr:col>
      <xdr:colOff>400185</xdr:colOff>
      <xdr:row>36</xdr:row>
      <xdr:rowOff>106200</xdr:rowOff>
    </xdr:to>
    <xdr:sp macro="" textlink="">
      <xdr:nvSpPr>
        <xdr:cNvPr id="16" name="Rectangle 15">
          <a:hlinkClick xmlns:r="http://schemas.openxmlformats.org/officeDocument/2006/relationships" r:id="rId7"/>
          <a:extLst>
            <a:ext uri="{FF2B5EF4-FFF2-40B4-BE49-F238E27FC236}">
              <a16:creationId xmlns:a16="http://schemas.microsoft.com/office/drawing/2014/main" xmlns="" id="{83EA9351-6510-453C-AE7D-ACFE5494068E}"/>
            </a:ext>
          </a:extLst>
        </xdr:cNvPr>
        <xdr:cNvSpPr/>
      </xdr:nvSpPr>
      <xdr:spPr>
        <a:xfrm>
          <a:off x="4360545" y="5692140"/>
          <a:ext cx="1236480" cy="845340"/>
        </a:xfrm>
        <a:prstGeom prst="rect">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chemeClr val="bg1"/>
              </a:solidFill>
            </a:rPr>
            <a:t>Quality Assurance</a:t>
          </a:r>
        </a:p>
      </xdr:txBody>
    </xdr:sp>
    <xdr:clientData/>
  </xdr:twoCellAnchor>
  <xdr:twoCellAnchor>
    <xdr:from>
      <xdr:col>10</xdr:col>
      <xdr:colOff>241935</xdr:colOff>
      <xdr:row>31</xdr:row>
      <xdr:rowOff>137160</xdr:rowOff>
    </xdr:from>
    <xdr:to>
      <xdr:col>12</xdr:col>
      <xdr:colOff>228735</xdr:colOff>
      <xdr:row>36</xdr:row>
      <xdr:rowOff>106200</xdr:rowOff>
    </xdr:to>
    <xdr:sp macro="" textlink="">
      <xdr:nvSpPr>
        <xdr:cNvPr id="17" name="Rectangle 16">
          <a:hlinkClick xmlns:r="http://schemas.openxmlformats.org/officeDocument/2006/relationships" r:id="rId8"/>
          <a:extLst>
            <a:ext uri="{FF2B5EF4-FFF2-40B4-BE49-F238E27FC236}">
              <a16:creationId xmlns:a16="http://schemas.microsoft.com/office/drawing/2014/main" xmlns="" id="{FC766D9F-6A3D-49FF-A5A1-9EC358C17B79}"/>
            </a:ext>
          </a:extLst>
        </xdr:cNvPr>
        <xdr:cNvSpPr/>
      </xdr:nvSpPr>
      <xdr:spPr>
        <a:xfrm>
          <a:off x="6063615" y="5692140"/>
          <a:ext cx="1236480" cy="845340"/>
        </a:xfrm>
        <a:prstGeom prst="rect">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chemeClr val="bg1"/>
              </a:solidFill>
            </a:rPr>
            <a:t>Changes Log</a:t>
          </a:r>
        </a:p>
      </xdr:txBody>
    </xdr:sp>
    <xdr:clientData/>
  </xdr:twoCellAnchor>
  <xdr:twoCellAnchor>
    <xdr:from>
      <xdr:col>1</xdr:col>
      <xdr:colOff>600075</xdr:colOff>
      <xdr:row>10</xdr:row>
      <xdr:rowOff>108585</xdr:rowOff>
    </xdr:from>
    <xdr:to>
      <xdr:col>3</xdr:col>
      <xdr:colOff>586875</xdr:colOff>
      <xdr:row>15</xdr:row>
      <xdr:rowOff>77625</xdr:rowOff>
    </xdr:to>
    <xdr:sp macro="" textlink="">
      <xdr:nvSpPr>
        <xdr:cNvPr id="20" name="Rectangle 19">
          <a:hlinkClick xmlns:r="http://schemas.openxmlformats.org/officeDocument/2006/relationships" r:id="rId9"/>
          <a:extLst>
            <a:ext uri="{FF2B5EF4-FFF2-40B4-BE49-F238E27FC236}">
              <a16:creationId xmlns:a16="http://schemas.microsoft.com/office/drawing/2014/main" xmlns="" id="{D6048284-982B-4A6C-8DE1-C53FD5DE5C44}"/>
            </a:ext>
          </a:extLst>
        </xdr:cNvPr>
        <xdr:cNvSpPr/>
      </xdr:nvSpPr>
      <xdr:spPr>
        <a:xfrm>
          <a:off x="798195" y="1975485"/>
          <a:ext cx="1236480" cy="845340"/>
        </a:xfrm>
        <a:prstGeom prst="rect">
          <a:avLst/>
        </a:prstGeom>
        <a:solidFill>
          <a:srgbClr val="FFFF99"/>
        </a:solidFill>
        <a:ln w="635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ysClr val="windowText" lastClr="000000"/>
              </a:solidFill>
            </a:rPr>
            <a:t>T Model Inputs</a:t>
          </a:r>
        </a:p>
      </xdr:txBody>
    </xdr:sp>
    <xdr:clientData/>
  </xdr:twoCellAnchor>
  <xdr:twoCellAnchor>
    <xdr:from>
      <xdr:col>1</xdr:col>
      <xdr:colOff>600075</xdr:colOff>
      <xdr:row>21</xdr:row>
      <xdr:rowOff>36195</xdr:rowOff>
    </xdr:from>
    <xdr:to>
      <xdr:col>3</xdr:col>
      <xdr:colOff>586875</xdr:colOff>
      <xdr:row>26</xdr:row>
      <xdr:rowOff>18570</xdr:rowOff>
    </xdr:to>
    <xdr:sp macro="" textlink="">
      <xdr:nvSpPr>
        <xdr:cNvPr id="21" name="Rectangle 20">
          <a:hlinkClick xmlns:r="http://schemas.openxmlformats.org/officeDocument/2006/relationships" r:id="rId10"/>
          <a:extLst>
            <a:ext uri="{FF2B5EF4-FFF2-40B4-BE49-F238E27FC236}">
              <a16:creationId xmlns:a16="http://schemas.microsoft.com/office/drawing/2014/main" xmlns="" id="{40FBBF26-A1B5-4691-B001-2793E2B36A82}"/>
            </a:ext>
          </a:extLst>
        </xdr:cNvPr>
        <xdr:cNvSpPr/>
      </xdr:nvSpPr>
      <xdr:spPr>
        <a:xfrm>
          <a:off x="798195" y="3830955"/>
          <a:ext cx="1236480" cy="858675"/>
        </a:xfrm>
        <a:prstGeom prst="rect">
          <a:avLst/>
        </a:prstGeom>
        <a:solidFill>
          <a:srgbClr val="FFFF99"/>
        </a:solidFill>
        <a:ln w="635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ysClr val="windowText" lastClr="000000"/>
              </a:solidFill>
            </a:rPr>
            <a:t>General Assumptions</a:t>
          </a:r>
        </a:p>
      </xdr:txBody>
    </xdr:sp>
    <xdr:clientData/>
  </xdr:twoCellAnchor>
  <xdr:twoCellAnchor>
    <xdr:from>
      <xdr:col>3</xdr:col>
      <xdr:colOff>586875</xdr:colOff>
      <xdr:row>13</xdr:row>
      <xdr:rowOff>5475</xdr:rowOff>
    </xdr:from>
    <xdr:to>
      <xdr:col>7</xdr:col>
      <xdr:colOff>617220</xdr:colOff>
      <xdr:row>16</xdr:row>
      <xdr:rowOff>28584</xdr:rowOff>
    </xdr:to>
    <xdr:cxnSp macro="">
      <xdr:nvCxnSpPr>
        <xdr:cNvPr id="22" name="Curved Connector 29">
          <a:extLst>
            <a:ext uri="{FF2B5EF4-FFF2-40B4-BE49-F238E27FC236}">
              <a16:creationId xmlns:a16="http://schemas.microsoft.com/office/drawing/2014/main" xmlns="" id="{626202F3-66D5-448A-B79C-B873D9DD8B78}"/>
            </a:ext>
          </a:extLst>
        </xdr:cNvPr>
        <xdr:cNvCxnSpPr>
          <a:stCxn id="20" idx="3"/>
          <a:endCxn id="46" idx="1"/>
        </xdr:cNvCxnSpPr>
      </xdr:nvCxnSpPr>
      <xdr:spPr>
        <a:xfrm>
          <a:off x="2034675" y="2398155"/>
          <a:ext cx="2529705" cy="548889"/>
        </a:xfrm>
        <a:prstGeom prst="curvedConnector3">
          <a:avLst>
            <a:gd name="adj1" fmla="val 50000"/>
          </a:avLst>
        </a:prstGeom>
        <a:ln w="19050">
          <a:solidFill>
            <a:schemeClr val="bg1">
              <a:lumMod val="50000"/>
            </a:schemeClr>
          </a:solidFill>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586875</xdr:colOff>
      <xdr:row>16</xdr:row>
      <xdr:rowOff>28584</xdr:rowOff>
    </xdr:from>
    <xdr:to>
      <xdr:col>7</xdr:col>
      <xdr:colOff>617220</xdr:colOff>
      <xdr:row>23</xdr:row>
      <xdr:rowOff>115013</xdr:rowOff>
    </xdr:to>
    <xdr:cxnSp macro="">
      <xdr:nvCxnSpPr>
        <xdr:cNvPr id="23" name="Curved Connector 31">
          <a:extLst>
            <a:ext uri="{FF2B5EF4-FFF2-40B4-BE49-F238E27FC236}">
              <a16:creationId xmlns:a16="http://schemas.microsoft.com/office/drawing/2014/main" xmlns="" id="{1C0C763F-1FCB-4580-9BEB-FC2AE3C835D2}"/>
            </a:ext>
          </a:extLst>
        </xdr:cNvPr>
        <xdr:cNvCxnSpPr>
          <a:stCxn id="21" idx="3"/>
          <a:endCxn id="46" idx="1"/>
        </xdr:cNvCxnSpPr>
      </xdr:nvCxnSpPr>
      <xdr:spPr>
        <a:xfrm flipV="1">
          <a:off x="2034675" y="2947044"/>
          <a:ext cx="2529705" cy="1313249"/>
        </a:xfrm>
        <a:prstGeom prst="curvedConnector3">
          <a:avLst>
            <a:gd name="adj1" fmla="val 50000"/>
          </a:avLst>
        </a:prstGeom>
        <a:ln w="19050">
          <a:solidFill>
            <a:schemeClr val="bg1">
              <a:lumMod val="50000"/>
            </a:schemeClr>
          </a:solidFill>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321779</xdr:colOff>
      <xdr:row>10</xdr:row>
      <xdr:rowOff>91938</xdr:rowOff>
    </xdr:from>
    <xdr:to>
      <xdr:col>14</xdr:col>
      <xdr:colOff>305265</xdr:colOff>
      <xdr:row>15</xdr:row>
      <xdr:rowOff>70585</xdr:rowOff>
    </xdr:to>
    <xdr:sp macro="" textlink="">
      <xdr:nvSpPr>
        <xdr:cNvPr id="24" name="Rectangle 23">
          <a:hlinkClick xmlns:r="http://schemas.openxmlformats.org/officeDocument/2006/relationships" r:id="rId11"/>
          <a:extLst>
            <a:ext uri="{FF2B5EF4-FFF2-40B4-BE49-F238E27FC236}">
              <a16:creationId xmlns:a16="http://schemas.microsoft.com/office/drawing/2014/main" xmlns="" id="{43DED8E1-251D-4516-8E4C-6014D19C9F88}"/>
            </a:ext>
          </a:extLst>
        </xdr:cNvPr>
        <xdr:cNvSpPr/>
      </xdr:nvSpPr>
      <xdr:spPr>
        <a:xfrm>
          <a:off x="7393139" y="1958838"/>
          <a:ext cx="1233166" cy="854947"/>
        </a:xfrm>
        <a:prstGeom prst="rect">
          <a:avLst/>
        </a:prstGeom>
        <a:solidFill>
          <a:srgbClr val="FF505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ysClr val="windowText" lastClr="000000"/>
              </a:solidFill>
            </a:rPr>
            <a:t>Financial Case</a:t>
          </a:r>
          <a:r>
            <a:rPr lang="en-GB" sz="1200" baseline="0">
              <a:solidFill>
                <a:sysClr val="windowText" lastClr="000000"/>
              </a:solidFill>
            </a:rPr>
            <a:t> Summary</a:t>
          </a:r>
          <a:endParaRPr lang="en-GB" sz="1200">
            <a:solidFill>
              <a:sysClr val="windowText" lastClr="000000"/>
            </a:solidFill>
          </a:endParaRPr>
        </a:p>
      </xdr:txBody>
    </xdr:sp>
    <xdr:clientData/>
  </xdr:twoCellAnchor>
  <xdr:twoCellAnchor>
    <xdr:from>
      <xdr:col>9</xdr:col>
      <xdr:colOff>600707</xdr:colOff>
      <xdr:row>12</xdr:row>
      <xdr:rowOff>168892</xdr:rowOff>
    </xdr:from>
    <xdr:to>
      <xdr:col>12</xdr:col>
      <xdr:colOff>321779</xdr:colOff>
      <xdr:row>16</xdr:row>
      <xdr:rowOff>28584</xdr:rowOff>
    </xdr:to>
    <xdr:cxnSp macro="">
      <xdr:nvCxnSpPr>
        <xdr:cNvPr id="25" name="Curved Connector 37">
          <a:extLst>
            <a:ext uri="{FF2B5EF4-FFF2-40B4-BE49-F238E27FC236}">
              <a16:creationId xmlns:a16="http://schemas.microsoft.com/office/drawing/2014/main" xmlns="" id="{77BBD1C4-05CA-4B6E-8154-706E014D793A}"/>
            </a:ext>
          </a:extLst>
        </xdr:cNvPr>
        <xdr:cNvCxnSpPr>
          <a:stCxn id="46" idx="3"/>
          <a:endCxn id="24" idx="1"/>
        </xdr:cNvCxnSpPr>
      </xdr:nvCxnSpPr>
      <xdr:spPr>
        <a:xfrm flipV="1">
          <a:off x="5797547" y="2386312"/>
          <a:ext cx="1595592" cy="560732"/>
        </a:xfrm>
        <a:prstGeom prst="curvedConnector3">
          <a:avLst>
            <a:gd name="adj1" fmla="val 50000"/>
          </a:avLst>
        </a:prstGeom>
        <a:ln w="19050">
          <a:solidFill>
            <a:schemeClr val="bg1">
              <a:lumMod val="50000"/>
            </a:schemeClr>
          </a:solidFill>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539115</xdr:colOff>
      <xdr:row>5</xdr:row>
      <xdr:rowOff>57150</xdr:rowOff>
    </xdr:from>
    <xdr:to>
      <xdr:col>6</xdr:col>
      <xdr:colOff>525915</xdr:colOff>
      <xdr:row>10</xdr:row>
      <xdr:rowOff>39525</xdr:rowOff>
    </xdr:to>
    <xdr:sp macro="" textlink="">
      <xdr:nvSpPr>
        <xdr:cNvPr id="26" name="Rectangle 25">
          <a:hlinkClick xmlns:r="http://schemas.openxmlformats.org/officeDocument/2006/relationships" r:id="rId12"/>
          <a:extLst>
            <a:ext uri="{FF2B5EF4-FFF2-40B4-BE49-F238E27FC236}">
              <a16:creationId xmlns:a16="http://schemas.microsoft.com/office/drawing/2014/main" xmlns="" id="{3EBFBEAC-458C-40FE-96A7-0B543BCDBA2A}"/>
            </a:ext>
          </a:extLst>
        </xdr:cNvPr>
        <xdr:cNvSpPr/>
      </xdr:nvSpPr>
      <xdr:spPr>
        <a:xfrm>
          <a:off x="2611755" y="1047750"/>
          <a:ext cx="1236480" cy="858675"/>
        </a:xfrm>
        <a:prstGeom prst="rect">
          <a:avLst/>
        </a:prstGeom>
        <a:solidFill>
          <a:srgbClr val="FFC000"/>
        </a:solidFill>
        <a:ln w="635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ysClr val="windowText" lastClr="000000"/>
              </a:solidFill>
            </a:rPr>
            <a:t>Processed Fleet</a:t>
          </a:r>
          <a:r>
            <a:rPr lang="en-GB" sz="1200" baseline="0">
              <a:solidFill>
                <a:sysClr val="windowText" lastClr="000000"/>
              </a:solidFill>
            </a:rPr>
            <a:t> Assumptions</a:t>
          </a:r>
          <a:endParaRPr lang="en-GB" sz="1200">
            <a:solidFill>
              <a:sysClr val="windowText" lastClr="000000"/>
            </a:solidFill>
          </a:endParaRPr>
        </a:p>
      </xdr:txBody>
    </xdr:sp>
    <xdr:clientData/>
  </xdr:twoCellAnchor>
  <xdr:twoCellAnchor>
    <xdr:from>
      <xdr:col>5</xdr:col>
      <xdr:colOff>532515</xdr:colOff>
      <xdr:row>10</xdr:row>
      <xdr:rowOff>39524</xdr:rowOff>
    </xdr:from>
    <xdr:to>
      <xdr:col>7</xdr:col>
      <xdr:colOff>617220</xdr:colOff>
      <xdr:row>16</xdr:row>
      <xdr:rowOff>28583</xdr:rowOff>
    </xdr:to>
    <xdr:cxnSp macro="">
      <xdr:nvCxnSpPr>
        <xdr:cNvPr id="28" name="Curved Connector 2">
          <a:extLst>
            <a:ext uri="{FF2B5EF4-FFF2-40B4-BE49-F238E27FC236}">
              <a16:creationId xmlns:a16="http://schemas.microsoft.com/office/drawing/2014/main" xmlns="" id="{84547AD8-782C-4F68-B77C-A25906530269}"/>
            </a:ext>
          </a:extLst>
        </xdr:cNvPr>
        <xdr:cNvCxnSpPr>
          <a:stCxn id="26" idx="2"/>
          <a:endCxn id="46" idx="1"/>
        </xdr:cNvCxnSpPr>
      </xdr:nvCxnSpPr>
      <xdr:spPr>
        <a:xfrm rot="16200000" flipH="1">
          <a:off x="3376878" y="1759541"/>
          <a:ext cx="1040619" cy="1334385"/>
        </a:xfrm>
        <a:prstGeom prst="curvedConnector2">
          <a:avLst/>
        </a:prstGeom>
        <a:ln w="19050">
          <a:solidFill>
            <a:schemeClr val="bg1">
              <a:lumMod val="50000"/>
            </a:schemeClr>
          </a:solidFill>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10</xdr:row>
      <xdr:rowOff>167640</xdr:rowOff>
    </xdr:from>
    <xdr:to>
      <xdr:col>17</xdr:col>
      <xdr:colOff>596400</xdr:colOff>
      <xdr:row>13</xdr:row>
      <xdr:rowOff>136530</xdr:rowOff>
    </xdr:to>
    <xdr:sp macro="" textlink="">
      <xdr:nvSpPr>
        <xdr:cNvPr id="31" name="Rectangle 30">
          <a:extLst>
            <a:ext uri="{FF2B5EF4-FFF2-40B4-BE49-F238E27FC236}">
              <a16:creationId xmlns:a16="http://schemas.microsoft.com/office/drawing/2014/main" xmlns="" id="{6D5FED45-F72F-4BF2-BF4D-B8C7C9BDEDE6}"/>
            </a:ext>
          </a:extLst>
        </xdr:cNvPr>
        <xdr:cNvSpPr/>
      </xdr:nvSpPr>
      <xdr:spPr>
        <a:xfrm>
          <a:off x="9570720" y="2034540"/>
          <a:ext cx="1221240" cy="494670"/>
        </a:xfrm>
        <a:prstGeom prst="rect">
          <a:avLst/>
        </a:prstGeom>
        <a:solidFill>
          <a:srgbClr val="FFC000"/>
        </a:solidFill>
        <a:ln w="635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ysClr val="windowText" lastClr="000000"/>
              </a:solidFill>
            </a:rPr>
            <a:t>Processed Input</a:t>
          </a:r>
          <a:r>
            <a:rPr lang="en-GB" sz="1200" baseline="0">
              <a:solidFill>
                <a:sysClr val="windowText" lastClr="000000"/>
              </a:solidFill>
            </a:rPr>
            <a:t> sheets</a:t>
          </a:r>
          <a:endParaRPr lang="en-GB" sz="1200">
            <a:solidFill>
              <a:sysClr val="windowText" lastClr="000000"/>
            </a:solidFill>
          </a:endParaRPr>
        </a:p>
      </xdr:txBody>
    </xdr:sp>
    <xdr:clientData/>
  </xdr:twoCellAnchor>
  <xdr:twoCellAnchor>
    <xdr:from>
      <xdr:col>7</xdr:col>
      <xdr:colOff>617220</xdr:colOff>
      <xdr:row>13</xdr:row>
      <xdr:rowOff>126890</xdr:rowOff>
    </xdr:from>
    <xdr:to>
      <xdr:col>9</xdr:col>
      <xdr:colOff>600707</xdr:colOff>
      <xdr:row>18</xdr:row>
      <xdr:rowOff>105537</xdr:rowOff>
    </xdr:to>
    <xdr:sp macro="" textlink="">
      <xdr:nvSpPr>
        <xdr:cNvPr id="46" name="Rectangle 45">
          <a:hlinkClick xmlns:r="http://schemas.openxmlformats.org/officeDocument/2006/relationships" r:id="rId13"/>
          <a:extLst>
            <a:ext uri="{FF2B5EF4-FFF2-40B4-BE49-F238E27FC236}">
              <a16:creationId xmlns:a16="http://schemas.microsoft.com/office/drawing/2014/main" xmlns="" id="{87700D86-0BC3-4362-9C20-DD9B47944A02}"/>
            </a:ext>
          </a:extLst>
        </xdr:cNvPr>
        <xdr:cNvSpPr/>
      </xdr:nvSpPr>
      <xdr:spPr>
        <a:xfrm>
          <a:off x="4564380" y="2519570"/>
          <a:ext cx="1233167" cy="854947"/>
        </a:xfrm>
        <a:prstGeom prst="rect">
          <a:avLst/>
        </a:prstGeom>
        <a:solidFill>
          <a:schemeClr val="accent5">
            <a:lumMod val="60000"/>
            <a:lumOff val="40000"/>
          </a:schemeClr>
        </a:solidFill>
        <a:ln w="6350">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ysClr val="windowText" lastClr="000000"/>
              </a:solidFill>
            </a:rPr>
            <a:t>Funding*</a:t>
          </a:r>
        </a:p>
      </xdr:txBody>
    </xdr:sp>
    <xdr:clientData/>
  </xdr:twoCellAnchor>
  <xdr:twoCellAnchor>
    <xdr:from>
      <xdr:col>7</xdr:col>
      <xdr:colOff>617220</xdr:colOff>
      <xdr:row>18</xdr:row>
      <xdr:rowOff>114300</xdr:rowOff>
    </xdr:from>
    <xdr:to>
      <xdr:col>9</xdr:col>
      <xdr:colOff>600707</xdr:colOff>
      <xdr:row>23</xdr:row>
      <xdr:rowOff>92947</xdr:rowOff>
    </xdr:to>
    <xdr:sp macro="" textlink="">
      <xdr:nvSpPr>
        <xdr:cNvPr id="53" name="Rectangle 52">
          <a:hlinkClick xmlns:r="http://schemas.openxmlformats.org/officeDocument/2006/relationships" r:id="rId14"/>
          <a:extLst>
            <a:ext uri="{FF2B5EF4-FFF2-40B4-BE49-F238E27FC236}">
              <a16:creationId xmlns:a16="http://schemas.microsoft.com/office/drawing/2014/main" xmlns="" id="{02DC06A5-4EF4-4C07-91B8-16748D239B34}"/>
            </a:ext>
          </a:extLst>
        </xdr:cNvPr>
        <xdr:cNvSpPr/>
      </xdr:nvSpPr>
      <xdr:spPr>
        <a:xfrm>
          <a:off x="4564380" y="3383280"/>
          <a:ext cx="1233167" cy="854947"/>
        </a:xfrm>
        <a:prstGeom prst="rect">
          <a:avLst/>
        </a:prstGeom>
        <a:solidFill>
          <a:schemeClr val="accent5">
            <a:lumMod val="60000"/>
            <a:lumOff val="40000"/>
          </a:schemeClr>
        </a:solidFill>
        <a:ln w="6350">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ysClr val="windowText" lastClr="000000"/>
              </a:solidFill>
            </a:rPr>
            <a:t>Interest</a:t>
          </a:r>
          <a:r>
            <a:rPr lang="en-GB" sz="1200" baseline="0">
              <a:solidFill>
                <a:sysClr val="windowText" lastClr="000000"/>
              </a:solidFill>
            </a:rPr>
            <a:t> on Loan</a:t>
          </a:r>
        </a:p>
      </xdr:txBody>
    </xdr:sp>
    <xdr:clientData/>
  </xdr:twoCellAnchor>
  <xdr:twoCellAnchor>
    <xdr:from>
      <xdr:col>1</xdr:col>
      <xdr:colOff>600075</xdr:colOff>
      <xdr:row>26</xdr:row>
      <xdr:rowOff>81915</xdr:rowOff>
    </xdr:from>
    <xdr:to>
      <xdr:col>3</xdr:col>
      <xdr:colOff>586875</xdr:colOff>
      <xdr:row>31</xdr:row>
      <xdr:rowOff>64290</xdr:rowOff>
    </xdr:to>
    <xdr:sp macro="" textlink="">
      <xdr:nvSpPr>
        <xdr:cNvPr id="60" name="Rectangle 59">
          <a:hlinkClick xmlns:r="http://schemas.openxmlformats.org/officeDocument/2006/relationships" r:id="rId15"/>
          <a:extLst>
            <a:ext uri="{FF2B5EF4-FFF2-40B4-BE49-F238E27FC236}">
              <a16:creationId xmlns:a16="http://schemas.microsoft.com/office/drawing/2014/main" xmlns="" id="{9E8D6612-A42B-4B05-86F6-88965F706F3A}"/>
            </a:ext>
          </a:extLst>
        </xdr:cNvPr>
        <xdr:cNvSpPr/>
      </xdr:nvSpPr>
      <xdr:spPr>
        <a:xfrm>
          <a:off x="798195" y="4752975"/>
          <a:ext cx="1236480" cy="858675"/>
        </a:xfrm>
        <a:prstGeom prst="rect">
          <a:avLst/>
        </a:prstGeom>
        <a:solidFill>
          <a:srgbClr val="FFFF99"/>
        </a:solidFill>
        <a:ln w="635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en-GB" sz="1200">
              <a:solidFill>
                <a:sysClr val="windowText" lastClr="000000"/>
              </a:solidFill>
            </a:rPr>
            <a:t>Aggregation Categories</a:t>
          </a:r>
        </a:p>
      </xdr:txBody>
    </xdr:sp>
    <xdr:clientData/>
  </xdr:twoCellAnchor>
  <xdr:twoCellAnchor>
    <xdr:from>
      <xdr:col>3</xdr:col>
      <xdr:colOff>586875</xdr:colOff>
      <xdr:row>16</xdr:row>
      <xdr:rowOff>28584</xdr:rowOff>
    </xdr:from>
    <xdr:to>
      <xdr:col>7</xdr:col>
      <xdr:colOff>617220</xdr:colOff>
      <xdr:row>28</xdr:row>
      <xdr:rowOff>160733</xdr:rowOff>
    </xdr:to>
    <xdr:cxnSp macro="">
      <xdr:nvCxnSpPr>
        <xdr:cNvPr id="61" name="Curved Connector 31">
          <a:extLst>
            <a:ext uri="{FF2B5EF4-FFF2-40B4-BE49-F238E27FC236}">
              <a16:creationId xmlns:a16="http://schemas.microsoft.com/office/drawing/2014/main" xmlns="" id="{43DCB7F1-8393-434A-9392-7375D7A8CFCC}"/>
            </a:ext>
          </a:extLst>
        </xdr:cNvPr>
        <xdr:cNvCxnSpPr>
          <a:stCxn id="60" idx="3"/>
          <a:endCxn id="46" idx="1"/>
        </xdr:cNvCxnSpPr>
      </xdr:nvCxnSpPr>
      <xdr:spPr>
        <a:xfrm flipV="1">
          <a:off x="2034675" y="2947044"/>
          <a:ext cx="2529705" cy="2235269"/>
        </a:xfrm>
        <a:prstGeom prst="curvedConnector3">
          <a:avLst>
            <a:gd name="adj1" fmla="val 50000"/>
          </a:avLst>
        </a:prstGeom>
        <a:ln w="19050">
          <a:solidFill>
            <a:schemeClr val="bg1">
              <a:lumMod val="50000"/>
            </a:schemeClr>
          </a:solidFill>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robinson\AppData\Local\Microsoft\Windows\INetCache\Content.Outlook\E1XBD6IZ\LA%20economic%20modelling%20template%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Cover"/>
      <sheetName val="Map"/>
      <sheetName val="Data Log"/>
      <sheetName val="Assumptions Log"/>
      <sheetName val="AQA Log"/>
      <sheetName val="Parameters"/>
      <sheetName val="Assumptions"/>
      <sheetName val="Data"/>
      <sheetName val="Baseline fleet"/>
      <sheetName val="Calculations"/>
      <sheetName val="Outputs (per year)"/>
      <sheetName val="Outputs (NPV)"/>
      <sheetName val="Sheet1"/>
    </sheetNames>
    <sheetDataSet>
      <sheetData sheetId="0" refreshError="1"/>
      <sheetData sheetId="1" refreshError="1"/>
      <sheetData sheetId="2" refreshError="1"/>
      <sheetData sheetId="3" refreshError="1"/>
      <sheetData sheetId="4" refreshError="1"/>
      <sheetData sheetId="5" refreshError="1"/>
      <sheetData sheetId="6">
        <row r="6">
          <cell r="C6">
            <v>2018</v>
          </cell>
        </row>
        <row r="7">
          <cell r="C7">
            <v>2021</v>
          </cell>
        </row>
        <row r="10">
          <cell r="C10">
            <v>0.02</v>
          </cell>
        </row>
      </sheetData>
      <sheetData sheetId="7" refreshError="1"/>
      <sheetData sheetId="8">
        <row r="6">
          <cell r="C6">
            <v>2015</v>
          </cell>
          <cell r="D6">
            <v>2016</v>
          </cell>
          <cell r="E6">
            <v>2017</v>
          </cell>
          <cell r="F6">
            <v>2018</v>
          </cell>
          <cell r="G6">
            <v>2019</v>
          </cell>
          <cell r="H6">
            <v>2020</v>
          </cell>
          <cell r="I6">
            <v>2021</v>
          </cell>
          <cell r="J6">
            <v>2022</v>
          </cell>
        </row>
        <row r="7">
          <cell r="C7">
            <v>96.177000000000007</v>
          </cell>
          <cell r="D7">
            <v>98.072000000000003</v>
          </cell>
          <cell r="E7">
            <v>100</v>
          </cell>
          <cell r="F7">
            <v>101.53000000000002</v>
          </cell>
          <cell r="G7">
            <v>103.11386800000002</v>
          </cell>
          <cell r="H7">
            <v>104.81524682200002</v>
          </cell>
          <cell r="I7">
            <v>106.6075875426562</v>
          </cell>
          <cell r="J7">
            <v>108.54784563593255</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sheetPr>
  <dimension ref="A1:L22"/>
  <sheetViews>
    <sheetView showGridLines="0" workbookViewId="0"/>
  </sheetViews>
  <sheetFormatPr defaultRowHeight="15" x14ac:dyDescent="0.25"/>
  <cols>
    <col min="2" max="2" width="23.5703125" customWidth="1"/>
    <col min="3" max="3" width="28.28515625" customWidth="1"/>
    <col min="4" max="4" width="24.42578125" customWidth="1"/>
    <col min="5" max="5" width="19.42578125" customWidth="1"/>
    <col min="6" max="6" width="23.28515625" customWidth="1"/>
    <col min="7" max="7" width="23.140625" customWidth="1"/>
    <col min="8" max="8" width="29.28515625" customWidth="1"/>
  </cols>
  <sheetData>
    <row r="1" spans="1:12" s="155" customFormat="1" ht="20.100000000000001" customHeight="1" x14ac:dyDescent="0.25">
      <c r="A1" s="454" t="s">
        <v>633</v>
      </c>
      <c r="H1" s="463" t="s">
        <v>634</v>
      </c>
    </row>
    <row r="2" spans="1:12" s="444" customFormat="1" ht="12.75" customHeight="1" x14ac:dyDescent="0.2">
      <c r="A2" s="443"/>
    </row>
    <row r="3" spans="1:12" s="444" customFormat="1" ht="15.75" x14ac:dyDescent="0.25">
      <c r="A3" s="443">
        <v>1</v>
      </c>
      <c r="B3" s="454" t="s">
        <v>635</v>
      </c>
      <c r="C3" s="454"/>
      <c r="D3" s="454"/>
      <c r="E3" s="454"/>
      <c r="F3" s="454"/>
      <c r="G3" s="454"/>
      <c r="H3" s="454"/>
      <c r="L3" s="445"/>
    </row>
    <row r="4" spans="1:12" s="444" customFormat="1" ht="15" customHeight="1" x14ac:dyDescent="0.25">
      <c r="A4" s="446"/>
      <c r="B4" s="825" t="s">
        <v>636</v>
      </c>
      <c r="C4" s="826"/>
      <c r="D4" s="840" t="s">
        <v>645</v>
      </c>
      <c r="E4" s="841"/>
      <c r="F4" s="841"/>
      <c r="G4" s="841"/>
      <c r="H4" s="841"/>
    </row>
    <row r="5" spans="1:12" s="444" customFormat="1" ht="15" customHeight="1" x14ac:dyDescent="0.25">
      <c r="A5" s="446"/>
      <c r="B5" s="825" t="s">
        <v>637</v>
      </c>
      <c r="C5" s="826"/>
      <c r="D5" s="840" t="s">
        <v>646</v>
      </c>
      <c r="E5" s="841"/>
      <c r="F5" s="841"/>
      <c r="G5" s="841"/>
      <c r="H5" s="841"/>
    </row>
    <row r="6" spans="1:12" s="450" customFormat="1" x14ac:dyDescent="0.25">
      <c r="A6" s="449"/>
      <c r="B6" s="825" t="s">
        <v>647</v>
      </c>
      <c r="C6" s="826"/>
      <c r="D6" s="840" t="s">
        <v>675</v>
      </c>
      <c r="E6" s="841"/>
      <c r="F6" s="841"/>
      <c r="G6" s="841"/>
      <c r="H6" s="841"/>
    </row>
    <row r="7" spans="1:12" s="448" customFormat="1" ht="32.450000000000003" customHeight="1" x14ac:dyDescent="0.25">
      <c r="A7" s="447"/>
      <c r="B7" s="825" t="s">
        <v>638</v>
      </c>
      <c r="C7" s="826"/>
      <c r="D7" s="840" t="s">
        <v>648</v>
      </c>
      <c r="E7" s="841"/>
      <c r="F7" s="841"/>
      <c r="G7" s="841"/>
      <c r="H7" s="841"/>
    </row>
    <row r="8" spans="1:12" s="448" customFormat="1" ht="12.75" x14ac:dyDescent="0.2">
      <c r="A8" s="447"/>
    </row>
    <row r="9" spans="1:12" s="448" customFormat="1" ht="12.75" customHeight="1" x14ac:dyDescent="0.2">
      <c r="A9" s="447"/>
    </row>
    <row r="10" spans="1:12" s="450" customFormat="1" ht="15" customHeight="1" x14ac:dyDescent="0.25">
      <c r="A10" s="449">
        <v>2</v>
      </c>
      <c r="B10" s="454" t="s">
        <v>639</v>
      </c>
      <c r="C10" s="454"/>
      <c r="D10" s="454"/>
      <c r="E10" s="454"/>
      <c r="F10" s="454"/>
      <c r="G10" s="454"/>
      <c r="H10" s="454"/>
    </row>
    <row r="11" spans="1:12" s="450" customFormat="1" ht="12.75" customHeight="1" x14ac:dyDescent="0.2">
      <c r="A11" s="449"/>
    </row>
    <row r="12" spans="1:12" s="450" customFormat="1" ht="12.75" customHeight="1" x14ac:dyDescent="0.25">
      <c r="A12" s="449"/>
      <c r="B12" s="827" t="s">
        <v>640</v>
      </c>
      <c r="C12" s="828"/>
      <c r="D12" s="828"/>
      <c r="E12" s="828"/>
      <c r="F12" s="829"/>
      <c r="G12" s="332" t="s">
        <v>704</v>
      </c>
    </row>
    <row r="13" spans="1:12" s="450" customFormat="1" ht="12.75" customHeight="1" x14ac:dyDescent="0.25">
      <c r="A13" s="449"/>
      <c r="B13" s="830" t="s">
        <v>707</v>
      </c>
      <c r="C13" s="831"/>
      <c r="D13" s="831"/>
      <c r="E13" s="831"/>
      <c r="F13" s="832"/>
      <c r="G13" s="332"/>
    </row>
    <row r="14" spans="1:12" s="450" customFormat="1" ht="12.75" customHeight="1" x14ac:dyDescent="0.25">
      <c r="A14" s="449"/>
      <c r="B14" s="837" t="s">
        <v>673</v>
      </c>
      <c r="C14" s="838"/>
      <c r="D14" s="838"/>
      <c r="E14" s="838"/>
      <c r="F14" s="839"/>
      <c r="G14" s="332"/>
    </row>
    <row r="15" spans="1:12" s="450" customFormat="1" ht="12.75" customHeight="1" x14ac:dyDescent="0.25">
      <c r="A15" s="449"/>
      <c r="B15" s="834" t="s">
        <v>641</v>
      </c>
      <c r="C15" s="835"/>
      <c r="D15" s="835"/>
      <c r="E15" s="835"/>
      <c r="F15" s="836"/>
      <c r="G15" s="332"/>
    </row>
    <row r="16" spans="1:12" s="450" customFormat="1" ht="12.75" customHeight="1" x14ac:dyDescent="0.25">
      <c r="A16" s="449"/>
      <c r="B16" s="833" t="s">
        <v>700</v>
      </c>
      <c r="C16" s="833"/>
      <c r="D16" s="833"/>
      <c r="E16" s="833"/>
      <c r="F16" s="833"/>
      <c r="G16"/>
      <c r="H16"/>
      <c r="I16"/>
      <c r="J16"/>
    </row>
    <row r="17" spans="1:7" s="448" customFormat="1" ht="12.75" customHeight="1" x14ac:dyDescent="0.2">
      <c r="A17" s="447"/>
    </row>
    <row r="18" spans="1:7" s="448" customFormat="1" ht="12.75" customHeight="1" x14ac:dyDescent="0.2">
      <c r="A18" s="447"/>
    </row>
    <row r="19" spans="1:7" s="448" customFormat="1" ht="15.75" x14ac:dyDescent="0.25">
      <c r="A19" s="447">
        <v>3</v>
      </c>
      <c r="B19" s="454" t="s">
        <v>642</v>
      </c>
      <c r="C19" s="454"/>
      <c r="D19" s="454"/>
      <c r="E19" s="454"/>
      <c r="F19" s="454"/>
      <c r="G19"/>
    </row>
    <row r="20" spans="1:7" s="452" customFormat="1" ht="26.25" customHeight="1" x14ac:dyDescent="0.25">
      <c r="A20" s="451"/>
      <c r="B20" s="819" t="s">
        <v>643</v>
      </c>
      <c r="C20" s="820"/>
      <c r="D20" s="819" t="s">
        <v>644</v>
      </c>
      <c r="E20" s="820"/>
      <c r="F20" s="455" t="s">
        <v>637</v>
      </c>
      <c r="G20"/>
    </row>
    <row r="21" spans="1:7" s="452" customFormat="1" ht="15" customHeight="1" x14ac:dyDescent="0.25">
      <c r="A21" s="451"/>
      <c r="B21" s="821" t="s">
        <v>674</v>
      </c>
      <c r="C21" s="822"/>
      <c r="D21" s="823"/>
      <c r="E21" s="824"/>
      <c r="F21" s="453"/>
      <c r="G21"/>
    </row>
    <row r="22" spans="1:7" s="448" customFormat="1" ht="12.75" customHeight="1" x14ac:dyDescent="0.2">
      <c r="A22" s="447"/>
    </row>
  </sheetData>
  <protectedRanges>
    <protectedRange sqref="D4:F5" name="Range1_1"/>
    <protectedRange sqref="D6:F6" name="Range1_1_1"/>
  </protectedRanges>
  <mergeCells count="17">
    <mergeCell ref="D4:H4"/>
    <mergeCell ref="D5:H5"/>
    <mergeCell ref="D6:H6"/>
    <mergeCell ref="B7:C7"/>
    <mergeCell ref="D7:H7"/>
    <mergeCell ref="B5:C5"/>
    <mergeCell ref="B4:C4"/>
    <mergeCell ref="D20:E20"/>
    <mergeCell ref="B21:C21"/>
    <mergeCell ref="D21:E21"/>
    <mergeCell ref="B6:C6"/>
    <mergeCell ref="B12:F12"/>
    <mergeCell ref="B13:F13"/>
    <mergeCell ref="B16:F16"/>
    <mergeCell ref="B15:F15"/>
    <mergeCell ref="B14:F14"/>
    <mergeCell ref="B20:C20"/>
  </mergeCells>
  <hyperlinks>
    <hyperlink ref="H1" location="Map!A1" display="return to map"/>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99"/>
  </sheetPr>
  <dimension ref="B1:L84"/>
  <sheetViews>
    <sheetView showGridLines="0" workbookViewId="0"/>
  </sheetViews>
  <sheetFormatPr defaultRowHeight="15" x14ac:dyDescent="0.25"/>
  <cols>
    <col min="2" max="2" width="34.42578125" customWidth="1"/>
    <col min="3" max="6" width="15.85546875" customWidth="1"/>
    <col min="10" max="10" width="32" customWidth="1"/>
  </cols>
  <sheetData>
    <row r="1" spans="2:11" x14ac:dyDescent="0.25">
      <c r="B1" s="21" t="s">
        <v>435</v>
      </c>
    </row>
    <row r="2" spans="2:11" ht="14.45" customHeight="1" x14ac:dyDescent="0.25">
      <c r="B2" s="884" t="s">
        <v>436</v>
      </c>
      <c r="C2" s="884"/>
      <c r="D2" s="884"/>
    </row>
    <row r="3" spans="2:11" x14ac:dyDescent="0.25">
      <c r="B3" s="884"/>
      <c r="C3" s="884"/>
      <c r="D3" s="884"/>
    </row>
    <row r="6" spans="2:11" s="155" customFormat="1" x14ac:dyDescent="0.25">
      <c r="B6" s="156" t="s">
        <v>437</v>
      </c>
    </row>
    <row r="8" spans="2:11" x14ac:dyDescent="0.25">
      <c r="B8" s="206" t="s">
        <v>438</v>
      </c>
      <c r="C8" s="207" t="s">
        <v>88</v>
      </c>
      <c r="D8" s="207" t="s">
        <v>89</v>
      </c>
      <c r="E8" s="207" t="s">
        <v>90</v>
      </c>
    </row>
    <row r="9" spans="2:11" ht="30.6" customHeight="1" x14ac:dyDescent="0.25">
      <c r="B9" s="214" t="s">
        <v>439</v>
      </c>
      <c r="C9" s="215">
        <v>40</v>
      </c>
      <c r="D9" s="215">
        <v>27</v>
      </c>
      <c r="E9" s="215">
        <v>12</v>
      </c>
      <c r="F9" s="859" t="s">
        <v>305</v>
      </c>
      <c r="G9" s="860"/>
      <c r="H9" s="860"/>
      <c r="I9" s="860"/>
      <c r="J9" s="860"/>
      <c r="K9" s="861"/>
    </row>
    <row r="10" spans="2:11" x14ac:dyDescent="0.25">
      <c r="B10" s="211" t="s">
        <v>254</v>
      </c>
      <c r="C10" s="216">
        <v>0</v>
      </c>
      <c r="D10" s="216">
        <v>0</v>
      </c>
      <c r="E10" s="216">
        <v>0</v>
      </c>
      <c r="F10" s="859"/>
      <c r="G10" s="860"/>
      <c r="H10" s="860"/>
      <c r="I10" s="860"/>
      <c r="J10" s="860"/>
      <c r="K10" s="861"/>
    </row>
    <row r="12" spans="2:11" ht="30" x14ac:dyDescent="0.25">
      <c r="B12" s="241" t="s">
        <v>514</v>
      </c>
      <c r="C12" s="478">
        <f>1/3</f>
        <v>0.33333333333333331</v>
      </c>
      <c r="D12" s="862" t="s">
        <v>517</v>
      </c>
      <c r="E12" s="863"/>
      <c r="F12" s="863"/>
      <c r="G12" s="863"/>
      <c r="H12" s="863"/>
      <c r="I12" s="863"/>
      <c r="J12" s="863"/>
      <c r="K12" s="863"/>
    </row>
    <row r="13" spans="2:11" ht="45" x14ac:dyDescent="0.25">
      <c r="B13" s="241" t="s">
        <v>515</v>
      </c>
      <c r="C13" s="478">
        <f>1-C12</f>
        <v>0.66666666666666674</v>
      </c>
      <c r="D13" s="862"/>
      <c r="E13" s="863"/>
      <c r="F13" s="863"/>
      <c r="G13" s="863"/>
      <c r="H13" s="863"/>
      <c r="I13" s="863"/>
      <c r="J13" s="863"/>
      <c r="K13" s="863"/>
    </row>
    <row r="14" spans="2:11" x14ac:dyDescent="0.25">
      <c r="C14" s="38"/>
    </row>
    <row r="15" spans="2:11" ht="30" x14ac:dyDescent="0.25">
      <c r="B15" s="241" t="s">
        <v>518</v>
      </c>
      <c r="C15" s="479">
        <f>INP_T_Model_inputs!D32/INP_T_Model_inputs!$G$32</f>
        <v>0</v>
      </c>
      <c r="D15" s="479">
        <f>INP_T_Model_inputs!E32/INP_T_Model_inputs!$G$32</f>
        <v>0</v>
      </c>
      <c r="E15" s="479">
        <f>INP_T_Model_inputs!F32/INP_T_Model_inputs!$G$32</f>
        <v>3.8442804428044282</v>
      </c>
      <c r="F15" s="479">
        <f>INP_T_Model_inputs!G32/INP_T_Model_inputs!$G$32</f>
        <v>1</v>
      </c>
      <c r="G15" s="833"/>
      <c r="H15" s="833"/>
      <c r="I15" s="833"/>
      <c r="J15" s="833"/>
      <c r="K15" s="833"/>
    </row>
    <row r="16" spans="2:11" ht="30" x14ac:dyDescent="0.25">
      <c r="B16" s="241" t="s">
        <v>516</v>
      </c>
      <c r="C16" s="479">
        <f>$C$12+(C15*$C$13)</f>
        <v>0.33333333333333331</v>
      </c>
      <c r="D16" s="479">
        <f>$C$12+(D15*$C$13)</f>
        <v>0.33333333333333331</v>
      </c>
      <c r="E16" s="479">
        <f>$C$12+(E15*$C$13)</f>
        <v>2.8961869618696192</v>
      </c>
      <c r="F16" s="479">
        <f>$C$12+F15*$C$13</f>
        <v>1</v>
      </c>
      <c r="G16" s="833"/>
      <c r="H16" s="833"/>
      <c r="I16" s="833"/>
      <c r="J16" s="833"/>
      <c r="K16" s="833"/>
    </row>
    <row r="17" spans="2:12" x14ac:dyDescent="0.25">
      <c r="C17" s="55"/>
      <c r="D17" s="55"/>
      <c r="E17" s="55"/>
      <c r="F17" s="55"/>
    </row>
    <row r="18" spans="2:12" ht="14.45" customHeight="1" x14ac:dyDescent="0.25">
      <c r="B18" s="217" t="s">
        <v>440</v>
      </c>
      <c r="C18" s="207" t="s">
        <v>94</v>
      </c>
      <c r="D18" s="207" t="s">
        <v>95</v>
      </c>
      <c r="E18" s="207" t="s">
        <v>96</v>
      </c>
      <c r="F18" s="207" t="s">
        <v>97</v>
      </c>
    </row>
    <row r="19" spans="2:12" x14ac:dyDescent="0.25">
      <c r="B19" s="218" t="s">
        <v>55</v>
      </c>
      <c r="C19" s="219">
        <f>E19*C9/E9</f>
        <v>1360000</v>
      </c>
      <c r="D19" s="220">
        <f>E19*D9/E9</f>
        <v>918000</v>
      </c>
      <c r="E19" s="220">
        <f>F19</f>
        <v>408000</v>
      </c>
      <c r="F19" s="223">
        <v>408000</v>
      </c>
      <c r="G19" s="851" t="s">
        <v>493</v>
      </c>
      <c r="H19" s="852"/>
      <c r="I19" s="852"/>
      <c r="J19" s="852"/>
      <c r="K19" s="852"/>
      <c r="L19" s="880"/>
    </row>
    <row r="20" spans="2:12" x14ac:dyDescent="0.25">
      <c r="B20" s="221" t="s">
        <v>56</v>
      </c>
      <c r="C20" s="222">
        <f>E20*2</f>
        <v>400000</v>
      </c>
      <c r="D20" s="222">
        <f>E20*1.5</f>
        <v>300000</v>
      </c>
      <c r="E20" s="223">
        <v>200000</v>
      </c>
      <c r="F20" s="223">
        <v>200000</v>
      </c>
      <c r="G20" s="306" t="s">
        <v>304</v>
      </c>
      <c r="H20" s="307"/>
      <c r="I20" s="307"/>
      <c r="J20" s="307"/>
      <c r="K20" s="307"/>
      <c r="L20" s="308"/>
    </row>
    <row r="21" spans="2:12" ht="33" customHeight="1" x14ac:dyDescent="0.25">
      <c r="B21" s="221" t="s">
        <v>57</v>
      </c>
      <c r="C21" s="223">
        <f t="shared" ref="C21:D21" si="0">C16*$F$21</f>
        <v>100000</v>
      </c>
      <c r="D21" s="223">
        <f t="shared" si="0"/>
        <v>100000</v>
      </c>
      <c r="E21" s="223">
        <f>E16*$F$21</f>
        <v>868856.08856088575</v>
      </c>
      <c r="F21" s="223">
        <v>300000</v>
      </c>
      <c r="G21" s="851" t="s">
        <v>519</v>
      </c>
      <c r="H21" s="852"/>
      <c r="I21" s="852"/>
      <c r="J21" s="852"/>
      <c r="K21" s="852"/>
      <c r="L21" s="880"/>
    </row>
    <row r="22" spans="2:12" ht="30.75" customHeight="1" x14ac:dyDescent="0.25">
      <c r="B22" s="224" t="s">
        <v>338</v>
      </c>
      <c r="C22" s="480">
        <f>C19/5</f>
        <v>272000</v>
      </c>
      <c r="D22" s="480">
        <f>D19/5</f>
        <v>183600</v>
      </c>
      <c r="E22" s="480">
        <f>E19/5</f>
        <v>81600</v>
      </c>
      <c r="F22" s="480">
        <f>F19/5</f>
        <v>81600</v>
      </c>
      <c r="G22" s="881" t="s">
        <v>520</v>
      </c>
      <c r="H22" s="882"/>
      <c r="I22" s="882"/>
      <c r="J22" s="882"/>
      <c r="K22" s="882"/>
      <c r="L22" s="883"/>
    </row>
    <row r="25" spans="2:12" x14ac:dyDescent="0.25">
      <c r="B25" s="217" t="s">
        <v>234</v>
      </c>
      <c r="C25" s="207" t="s">
        <v>94</v>
      </c>
      <c r="D25" s="207" t="s">
        <v>95</v>
      </c>
      <c r="E25" s="207" t="s">
        <v>96</v>
      </c>
      <c r="F25" s="207" t="s">
        <v>97</v>
      </c>
    </row>
    <row r="26" spans="2:12" x14ac:dyDescent="0.25">
      <c r="B26" s="218" t="s">
        <v>119</v>
      </c>
      <c r="C26" s="315">
        <v>12.5</v>
      </c>
      <c r="D26" s="315">
        <v>12.5</v>
      </c>
      <c r="E26" s="225">
        <v>10</v>
      </c>
      <c r="F26" s="225">
        <v>0</v>
      </c>
      <c r="G26" s="862"/>
      <c r="H26" s="863"/>
      <c r="I26" s="863"/>
      <c r="J26" s="863"/>
      <c r="K26" s="864"/>
    </row>
    <row r="27" spans="2:12" x14ac:dyDescent="0.25">
      <c r="B27" s="221" t="s">
        <v>235</v>
      </c>
      <c r="C27" s="316">
        <v>12.5</v>
      </c>
      <c r="D27" s="316">
        <v>12.5</v>
      </c>
      <c r="E27" s="223">
        <v>10</v>
      </c>
      <c r="F27" s="223">
        <v>10</v>
      </c>
      <c r="G27" s="862"/>
      <c r="H27" s="863"/>
      <c r="I27" s="863"/>
      <c r="J27" s="863"/>
      <c r="K27" s="864"/>
    </row>
    <row r="28" spans="2:12" x14ac:dyDescent="0.25">
      <c r="B28" s="221" t="s">
        <v>236</v>
      </c>
      <c r="C28" s="316">
        <v>12.5</v>
      </c>
      <c r="D28" s="316">
        <v>12.5</v>
      </c>
      <c r="E28" s="223">
        <v>10</v>
      </c>
      <c r="F28" s="223">
        <v>10</v>
      </c>
      <c r="G28" s="862"/>
      <c r="H28" s="863"/>
      <c r="I28" s="863"/>
      <c r="J28" s="863"/>
      <c r="K28" s="864"/>
    </row>
    <row r="29" spans="2:12" x14ac:dyDescent="0.25">
      <c r="B29" s="221" t="s">
        <v>26</v>
      </c>
      <c r="C29" s="316">
        <v>12.5</v>
      </c>
      <c r="D29" s="316">
        <v>12.5</v>
      </c>
      <c r="E29" s="223">
        <v>10</v>
      </c>
      <c r="F29" s="223">
        <v>10</v>
      </c>
      <c r="G29" s="226"/>
      <c r="H29" s="227"/>
      <c r="I29" s="227"/>
      <c r="J29" s="227"/>
      <c r="K29" s="228"/>
    </row>
    <row r="30" spans="2:12" x14ac:dyDescent="0.25">
      <c r="B30" s="221" t="s">
        <v>27</v>
      </c>
      <c r="C30" s="223">
        <v>100</v>
      </c>
      <c r="D30" s="223">
        <v>100</v>
      </c>
      <c r="E30" s="223">
        <v>50</v>
      </c>
      <c r="F30" s="223">
        <v>50</v>
      </c>
      <c r="G30" s="226"/>
      <c r="H30" s="227"/>
      <c r="I30" s="227"/>
      <c r="J30" s="227"/>
      <c r="K30" s="228"/>
    </row>
    <row r="31" spans="2:12" x14ac:dyDescent="0.25">
      <c r="B31" s="224" t="s">
        <v>3</v>
      </c>
      <c r="C31" s="229">
        <v>100</v>
      </c>
      <c r="D31" s="212">
        <v>100</v>
      </c>
      <c r="E31" s="229">
        <v>100</v>
      </c>
      <c r="F31" s="229">
        <v>50</v>
      </c>
      <c r="G31" s="862"/>
      <c r="H31" s="863"/>
      <c r="I31" s="863"/>
      <c r="J31" s="863"/>
      <c r="K31" s="864"/>
    </row>
    <row r="33" spans="2:11" s="155" customFormat="1" x14ac:dyDescent="0.25">
      <c r="B33" s="156" t="s">
        <v>103</v>
      </c>
    </row>
    <row r="35" spans="2:11" x14ac:dyDescent="0.25">
      <c r="B35" s="206" t="s">
        <v>441</v>
      </c>
      <c r="C35" s="207" t="s">
        <v>88</v>
      </c>
      <c r="D35" s="207" t="s">
        <v>89</v>
      </c>
      <c r="E35" s="207" t="s">
        <v>90</v>
      </c>
    </row>
    <row r="36" spans="2:11" x14ac:dyDescent="0.25">
      <c r="B36" s="214" t="s">
        <v>108</v>
      </c>
      <c r="C36" s="230">
        <v>0.62</v>
      </c>
      <c r="D36" s="230">
        <v>0.75</v>
      </c>
      <c r="E36" s="230">
        <v>0.85</v>
      </c>
      <c r="F36" s="862" t="s">
        <v>450</v>
      </c>
      <c r="G36" s="863"/>
      <c r="H36" s="863"/>
      <c r="I36" s="863"/>
      <c r="J36" s="863"/>
      <c r="K36" s="863"/>
    </row>
    <row r="37" spans="2:11" x14ac:dyDescent="0.25">
      <c r="B37" s="214" t="s">
        <v>109</v>
      </c>
      <c r="C37" s="231">
        <v>0.25</v>
      </c>
      <c r="D37" s="231">
        <v>0.12</v>
      </c>
      <c r="E37" s="231">
        <v>0.05</v>
      </c>
      <c r="F37" s="232"/>
      <c r="G37" s="233"/>
      <c r="H37" s="233"/>
      <c r="I37" s="233"/>
      <c r="J37" s="233"/>
      <c r="K37" s="234"/>
    </row>
    <row r="38" spans="2:11" x14ac:dyDescent="0.25">
      <c r="B38" s="211" t="s">
        <v>110</v>
      </c>
      <c r="C38" s="235">
        <f>1-(C36+C37)</f>
        <v>0.13</v>
      </c>
      <c r="D38" s="235">
        <f t="shared" ref="D38:E38" si="1">1-(D36+D37)</f>
        <v>0.13</v>
      </c>
      <c r="E38" s="235">
        <f t="shared" si="1"/>
        <v>9.9999999999999978E-2</v>
      </c>
      <c r="F38" s="859"/>
      <c r="G38" s="860"/>
      <c r="H38" s="860"/>
      <c r="I38" s="860"/>
      <c r="J38" s="860"/>
      <c r="K38" s="861"/>
    </row>
    <row r="40" spans="2:11" s="155" customFormat="1" x14ac:dyDescent="0.25">
      <c r="B40" s="156" t="s">
        <v>4</v>
      </c>
    </row>
    <row r="42" spans="2:11" x14ac:dyDescent="0.25">
      <c r="B42" s="206" t="s">
        <v>442</v>
      </c>
      <c r="C42" s="207" t="s">
        <v>88</v>
      </c>
      <c r="D42" s="207" t="s">
        <v>89</v>
      </c>
      <c r="E42" s="207" t="s">
        <v>90</v>
      </c>
    </row>
    <row r="43" spans="2:11" ht="30" x14ac:dyDescent="0.25">
      <c r="B43" s="214" t="s">
        <v>241</v>
      </c>
      <c r="C43" s="215">
        <v>360</v>
      </c>
      <c r="D43" s="215">
        <v>360</v>
      </c>
      <c r="E43" s="215">
        <v>360</v>
      </c>
      <c r="F43" s="862"/>
      <c r="G43" s="863"/>
      <c r="H43" s="863"/>
      <c r="I43" s="863"/>
      <c r="J43" s="863"/>
      <c r="K43" s="864"/>
    </row>
    <row r="44" spans="2:11" ht="30" x14ac:dyDescent="0.25">
      <c r="B44" s="236" t="s">
        <v>242</v>
      </c>
      <c r="C44" s="216">
        <v>70</v>
      </c>
      <c r="D44" s="216">
        <v>60</v>
      </c>
      <c r="E44" s="216">
        <v>50</v>
      </c>
      <c r="F44" s="862" t="s">
        <v>301</v>
      </c>
      <c r="G44" s="863"/>
      <c r="H44" s="863"/>
      <c r="I44" s="863"/>
      <c r="J44" s="863"/>
      <c r="K44" s="864"/>
    </row>
    <row r="46" spans="2:11" s="155" customFormat="1" x14ac:dyDescent="0.25">
      <c r="B46" s="156" t="s">
        <v>118</v>
      </c>
    </row>
    <row r="48" spans="2:11" x14ac:dyDescent="0.25">
      <c r="B48" s="217"/>
      <c r="C48" s="207" t="s">
        <v>94</v>
      </c>
      <c r="D48" s="207" t="s">
        <v>95</v>
      </c>
      <c r="E48" s="207" t="s">
        <v>96</v>
      </c>
      <c r="F48" s="207" t="s">
        <v>97</v>
      </c>
    </row>
    <row r="49" spans="2:11" ht="30" x14ac:dyDescent="0.25">
      <c r="B49" s="237" t="s">
        <v>141</v>
      </c>
      <c r="C49" s="225">
        <v>650000</v>
      </c>
      <c r="D49" s="209">
        <v>650000</v>
      </c>
      <c r="E49" s="225">
        <v>650000</v>
      </c>
      <c r="F49" s="225">
        <v>650000</v>
      </c>
      <c r="G49" s="848" t="s">
        <v>306</v>
      </c>
      <c r="H49" s="849"/>
      <c r="I49" s="849"/>
      <c r="J49" s="849"/>
      <c r="K49" s="850"/>
    </row>
    <row r="50" spans="2:11" ht="30" x14ac:dyDescent="0.25">
      <c r="B50" s="238" t="s">
        <v>362</v>
      </c>
      <c r="C50" s="223">
        <v>1300000</v>
      </c>
      <c r="D50" s="223">
        <v>1300000</v>
      </c>
      <c r="E50" s="223">
        <v>1300000</v>
      </c>
      <c r="F50" s="223">
        <v>1300000</v>
      </c>
      <c r="G50" s="848" t="s">
        <v>494</v>
      </c>
      <c r="H50" s="849"/>
      <c r="I50" s="849"/>
      <c r="J50" s="849"/>
      <c r="K50" s="850"/>
    </row>
    <row r="51" spans="2:11" ht="30" x14ac:dyDescent="0.25">
      <c r="B51" s="238" t="s">
        <v>143</v>
      </c>
      <c r="C51" s="223">
        <v>300000</v>
      </c>
      <c r="D51" s="210">
        <v>300000</v>
      </c>
      <c r="E51" s="223">
        <v>300000</v>
      </c>
      <c r="F51" s="223">
        <v>300000</v>
      </c>
      <c r="G51" s="848" t="s">
        <v>303</v>
      </c>
      <c r="H51" s="849"/>
      <c r="I51" s="849"/>
      <c r="J51" s="849"/>
      <c r="K51" s="850"/>
    </row>
    <row r="52" spans="2:11" ht="30" x14ac:dyDescent="0.25">
      <c r="B52" s="238" t="s">
        <v>144</v>
      </c>
      <c r="C52" s="223">
        <v>400000</v>
      </c>
      <c r="D52" s="210">
        <v>200000</v>
      </c>
      <c r="E52" s="223">
        <v>200000</v>
      </c>
      <c r="F52" s="223">
        <v>200000</v>
      </c>
      <c r="G52" s="848" t="s">
        <v>303</v>
      </c>
      <c r="H52" s="849"/>
      <c r="I52" s="849"/>
      <c r="J52" s="849"/>
      <c r="K52" s="850"/>
    </row>
    <row r="53" spans="2:11" x14ac:dyDescent="0.25">
      <c r="B53" s="238" t="s">
        <v>194</v>
      </c>
      <c r="C53" s="239">
        <f>D53*1.1</f>
        <v>220000.00000000003</v>
      </c>
      <c r="D53" s="222">
        <f>E53*2</f>
        <v>200000</v>
      </c>
      <c r="E53" s="223">
        <v>100000</v>
      </c>
      <c r="F53" s="223">
        <v>100000</v>
      </c>
      <c r="G53" s="848" t="s">
        <v>149</v>
      </c>
      <c r="H53" s="849"/>
      <c r="I53" s="849"/>
      <c r="J53" s="849"/>
      <c r="K53" s="850"/>
    </row>
    <row r="54" spans="2:11" ht="30" x14ac:dyDescent="0.25">
      <c r="B54" s="240" t="s">
        <v>193</v>
      </c>
      <c r="C54" s="229">
        <v>0</v>
      </c>
      <c r="D54" s="212">
        <v>0</v>
      </c>
      <c r="E54" s="229">
        <v>0</v>
      </c>
      <c r="F54" s="229">
        <v>0</v>
      </c>
      <c r="G54" s="848"/>
      <c r="H54" s="849"/>
      <c r="I54" s="849"/>
      <c r="J54" s="849"/>
      <c r="K54" s="850"/>
    </row>
    <row r="57" spans="2:11" x14ac:dyDescent="0.25">
      <c r="B57" s="217"/>
      <c r="C57" s="207" t="s">
        <v>94</v>
      </c>
      <c r="D57" s="207" t="s">
        <v>95</v>
      </c>
      <c r="E57" s="207" t="s">
        <v>96</v>
      </c>
      <c r="F57" s="207" t="s">
        <v>97</v>
      </c>
    </row>
    <row r="58" spans="2:11" x14ac:dyDescent="0.25">
      <c r="B58" s="237" t="s">
        <v>363</v>
      </c>
      <c r="C58" s="215">
        <v>1</v>
      </c>
      <c r="D58" s="215">
        <v>1</v>
      </c>
      <c r="E58" s="215">
        <v>1</v>
      </c>
      <c r="F58" s="215">
        <v>1</v>
      </c>
      <c r="G58" s="848"/>
      <c r="H58" s="849"/>
      <c r="I58" s="849"/>
      <c r="J58" s="849"/>
      <c r="K58" s="850"/>
    </row>
    <row r="59" spans="2:11" x14ac:dyDescent="0.25">
      <c r="B59" s="238" t="s">
        <v>161</v>
      </c>
      <c r="C59" s="205">
        <v>1</v>
      </c>
      <c r="D59" s="205">
        <v>1</v>
      </c>
      <c r="E59" s="205">
        <v>1</v>
      </c>
      <c r="F59" s="205">
        <v>1</v>
      </c>
      <c r="G59" s="848"/>
      <c r="H59" s="849"/>
      <c r="I59" s="849"/>
      <c r="J59" s="849"/>
      <c r="K59" s="850"/>
    </row>
    <row r="60" spans="2:11" x14ac:dyDescent="0.25">
      <c r="B60" s="238" t="s">
        <v>162</v>
      </c>
      <c r="C60" s="205">
        <v>1</v>
      </c>
      <c r="D60" s="205">
        <v>1</v>
      </c>
      <c r="E60" s="205">
        <v>1</v>
      </c>
      <c r="F60" s="205">
        <v>1</v>
      </c>
      <c r="G60" s="848"/>
      <c r="H60" s="849"/>
      <c r="I60" s="849"/>
      <c r="J60" s="849"/>
      <c r="K60" s="850"/>
    </row>
    <row r="61" spans="2:11" x14ac:dyDescent="0.25">
      <c r="B61" s="238" t="s">
        <v>364</v>
      </c>
      <c r="C61" s="205">
        <v>1</v>
      </c>
      <c r="D61" s="205">
        <v>1</v>
      </c>
      <c r="E61" s="205">
        <v>1</v>
      </c>
      <c r="F61" s="205">
        <v>1</v>
      </c>
      <c r="G61" s="848"/>
      <c r="H61" s="849"/>
      <c r="I61" s="849"/>
      <c r="J61" s="849"/>
      <c r="K61" s="850"/>
    </row>
    <row r="62" spans="2:11" x14ac:dyDescent="0.25">
      <c r="B62" s="240" t="s">
        <v>163</v>
      </c>
      <c r="C62" s="216">
        <v>0</v>
      </c>
      <c r="D62" s="216">
        <v>0</v>
      </c>
      <c r="E62" s="216">
        <v>0</v>
      </c>
      <c r="F62" s="216">
        <v>0</v>
      </c>
      <c r="G62" s="848"/>
      <c r="H62" s="849"/>
      <c r="I62" s="849"/>
      <c r="J62" s="849"/>
      <c r="K62" s="850"/>
    </row>
    <row r="65" spans="2:11" x14ac:dyDescent="0.25">
      <c r="B65" s="217" t="s">
        <v>365</v>
      </c>
      <c r="C65" s="207" t="s">
        <v>94</v>
      </c>
      <c r="D65" s="207" t="s">
        <v>95</v>
      </c>
      <c r="E65" s="207" t="s">
        <v>96</v>
      </c>
      <c r="F65" s="207" t="s">
        <v>97</v>
      </c>
    </row>
    <row r="66" spans="2:11" x14ac:dyDescent="0.25">
      <c r="B66" s="241"/>
      <c r="C66" s="201">
        <v>0</v>
      </c>
      <c r="D66" s="201">
        <v>0</v>
      </c>
      <c r="E66" s="201">
        <v>0</v>
      </c>
      <c r="F66" s="201">
        <v>0</v>
      </c>
      <c r="G66" s="848"/>
      <c r="H66" s="849"/>
      <c r="I66" s="849"/>
      <c r="J66" s="849"/>
      <c r="K66" s="850"/>
    </row>
    <row r="68" spans="2:11" s="155" customFormat="1" x14ac:dyDescent="0.25">
      <c r="B68" s="156" t="s">
        <v>443</v>
      </c>
    </row>
    <row r="70" spans="2:11" ht="30" x14ac:dyDescent="0.25">
      <c r="B70" s="242" t="s">
        <v>292</v>
      </c>
      <c r="C70" s="206" t="s">
        <v>94</v>
      </c>
      <c r="D70" s="206" t="s">
        <v>95</v>
      </c>
      <c r="E70" s="206" t="s">
        <v>96</v>
      </c>
      <c r="F70" s="206" t="s">
        <v>97</v>
      </c>
    </row>
    <row r="71" spans="2:11" x14ac:dyDescent="0.25">
      <c r="B71" s="237" t="s">
        <v>366</v>
      </c>
      <c r="C71" s="230">
        <v>0.1</v>
      </c>
      <c r="D71" s="230">
        <v>0.1</v>
      </c>
      <c r="E71" s="230">
        <v>0.1</v>
      </c>
      <c r="F71" s="230">
        <v>0</v>
      </c>
      <c r="G71" s="848" t="s">
        <v>578</v>
      </c>
      <c r="H71" s="849"/>
      <c r="I71" s="849"/>
      <c r="J71" s="849"/>
      <c r="K71" s="850"/>
    </row>
    <row r="72" spans="2:11" x14ac:dyDescent="0.25">
      <c r="B72" s="238" t="s">
        <v>367</v>
      </c>
      <c r="C72" s="231">
        <v>0.1</v>
      </c>
      <c r="D72" s="231">
        <v>0.1</v>
      </c>
      <c r="E72" s="231">
        <v>0.1</v>
      </c>
      <c r="F72" s="231">
        <v>0</v>
      </c>
      <c r="G72" s="848"/>
      <c r="H72" s="849"/>
      <c r="I72" s="849"/>
      <c r="J72" s="849"/>
      <c r="K72" s="850"/>
    </row>
    <row r="73" spans="2:11" x14ac:dyDescent="0.25">
      <c r="B73" s="238" t="s">
        <v>368</v>
      </c>
      <c r="C73" s="231">
        <v>0.1</v>
      </c>
      <c r="D73" s="231">
        <v>0.1</v>
      </c>
      <c r="E73" s="231">
        <v>0.1</v>
      </c>
      <c r="F73" s="231">
        <v>0</v>
      </c>
      <c r="G73" s="848"/>
      <c r="H73" s="849"/>
      <c r="I73" s="849"/>
      <c r="J73" s="849"/>
      <c r="K73" s="850"/>
    </row>
    <row r="74" spans="2:11" x14ac:dyDescent="0.25">
      <c r="B74" s="238" t="s">
        <v>370</v>
      </c>
      <c r="C74" s="231">
        <v>0</v>
      </c>
      <c r="D74" s="231">
        <v>0</v>
      </c>
      <c r="E74" s="231">
        <v>0</v>
      </c>
      <c r="F74" s="231">
        <v>0</v>
      </c>
      <c r="G74" s="848" t="s">
        <v>449</v>
      </c>
      <c r="H74" s="849"/>
      <c r="I74" s="849"/>
      <c r="J74" s="849"/>
      <c r="K74" s="850"/>
    </row>
    <row r="75" spans="2:11" x14ac:dyDescent="0.25">
      <c r="B75" s="238" t="s">
        <v>371</v>
      </c>
      <c r="C75" s="231">
        <v>1</v>
      </c>
      <c r="D75" s="231">
        <v>1</v>
      </c>
      <c r="E75" s="231">
        <v>1</v>
      </c>
      <c r="F75" s="231">
        <v>1</v>
      </c>
      <c r="G75" s="848"/>
      <c r="H75" s="849"/>
      <c r="I75" s="849"/>
      <c r="J75" s="849"/>
      <c r="K75" s="850"/>
    </row>
    <row r="76" spans="2:11" x14ac:dyDescent="0.25">
      <c r="B76" s="238" t="s">
        <v>372</v>
      </c>
      <c r="C76" s="231">
        <v>1</v>
      </c>
      <c r="D76" s="231">
        <v>1</v>
      </c>
      <c r="E76" s="231">
        <v>1</v>
      </c>
      <c r="F76" s="231">
        <v>1</v>
      </c>
      <c r="G76" s="848"/>
      <c r="H76" s="849"/>
      <c r="I76" s="849"/>
      <c r="J76" s="849"/>
      <c r="K76" s="850"/>
    </row>
    <row r="77" spans="2:11" x14ac:dyDescent="0.25">
      <c r="B77" s="238" t="s">
        <v>369</v>
      </c>
      <c r="C77" s="231">
        <v>1</v>
      </c>
      <c r="D77" s="231">
        <v>0.5</v>
      </c>
      <c r="E77" s="231">
        <v>0.2</v>
      </c>
      <c r="F77" s="231">
        <v>0.2</v>
      </c>
      <c r="G77" s="848"/>
      <c r="H77" s="849"/>
      <c r="I77" s="849"/>
      <c r="J77" s="849"/>
      <c r="K77" s="850"/>
    </row>
    <row r="78" spans="2:11" x14ac:dyDescent="0.25">
      <c r="B78" s="238" t="s">
        <v>373</v>
      </c>
      <c r="C78" s="231">
        <v>0.5</v>
      </c>
      <c r="D78" s="231">
        <v>0.5</v>
      </c>
      <c r="E78" s="231">
        <v>0.5</v>
      </c>
      <c r="F78" s="231">
        <v>0.5</v>
      </c>
      <c r="G78" s="848" t="s">
        <v>488</v>
      </c>
      <c r="H78" s="849"/>
      <c r="I78" s="849"/>
      <c r="J78" s="849"/>
      <c r="K78" s="850"/>
    </row>
    <row r="79" spans="2:11" x14ac:dyDescent="0.25">
      <c r="B79" s="238" t="s">
        <v>374</v>
      </c>
      <c r="C79" s="231">
        <v>0.2</v>
      </c>
      <c r="D79" s="231">
        <v>0.2</v>
      </c>
      <c r="E79" s="231">
        <v>0.2</v>
      </c>
      <c r="F79" s="231">
        <v>0.2</v>
      </c>
      <c r="G79" s="848" t="s">
        <v>488</v>
      </c>
      <c r="H79" s="849"/>
      <c r="I79" s="849"/>
      <c r="J79" s="849"/>
      <c r="K79" s="850"/>
    </row>
    <row r="80" spans="2:11" x14ac:dyDescent="0.25">
      <c r="B80" s="240" t="s">
        <v>375</v>
      </c>
      <c r="C80" s="477">
        <v>0.1</v>
      </c>
      <c r="D80" s="477">
        <v>0.1</v>
      </c>
      <c r="E80" s="477">
        <v>0.1</v>
      </c>
      <c r="F80" s="477">
        <v>0.1</v>
      </c>
      <c r="G80" s="848" t="s">
        <v>488</v>
      </c>
      <c r="H80" s="849"/>
      <c r="I80" s="849"/>
      <c r="J80" s="849"/>
      <c r="K80" s="850"/>
    </row>
    <row r="83" spans="2:11" x14ac:dyDescent="0.25">
      <c r="B83" s="242"/>
      <c r="C83" s="207" t="s">
        <v>94</v>
      </c>
      <c r="D83" s="207" t="s">
        <v>95</v>
      </c>
      <c r="E83" s="207" t="s">
        <v>96</v>
      </c>
      <c r="F83" s="207" t="s">
        <v>97</v>
      </c>
    </row>
    <row r="84" spans="2:11" ht="30" x14ac:dyDescent="0.25">
      <c r="B84" s="241" t="s">
        <v>99</v>
      </c>
      <c r="C84" s="201">
        <v>0</v>
      </c>
      <c r="D84" s="201">
        <v>0</v>
      </c>
      <c r="E84" s="201">
        <v>0</v>
      </c>
      <c r="F84" s="201">
        <v>1</v>
      </c>
      <c r="G84" s="848"/>
      <c r="H84" s="849"/>
      <c r="I84" s="849"/>
      <c r="J84" s="849"/>
      <c r="K84" s="850"/>
    </row>
  </sheetData>
  <mergeCells count="41">
    <mergeCell ref="G79:K79"/>
    <mergeCell ref="G80:K80"/>
    <mergeCell ref="G84:K84"/>
    <mergeCell ref="G73:K73"/>
    <mergeCell ref="G74:K74"/>
    <mergeCell ref="G75:K75"/>
    <mergeCell ref="G76:K76"/>
    <mergeCell ref="G77:K77"/>
    <mergeCell ref="G78:K78"/>
    <mergeCell ref="G72:K72"/>
    <mergeCell ref="G52:K52"/>
    <mergeCell ref="G53:K53"/>
    <mergeCell ref="G54:K54"/>
    <mergeCell ref="G58:K58"/>
    <mergeCell ref="G59:K59"/>
    <mergeCell ref="G60:K60"/>
    <mergeCell ref="G61:K61"/>
    <mergeCell ref="G62:K62"/>
    <mergeCell ref="G66:K66"/>
    <mergeCell ref="G71:K71"/>
    <mergeCell ref="G51:K51"/>
    <mergeCell ref="G26:K26"/>
    <mergeCell ref="G27:K27"/>
    <mergeCell ref="G28:K28"/>
    <mergeCell ref="G31:K31"/>
    <mergeCell ref="F36:K36"/>
    <mergeCell ref="F38:K38"/>
    <mergeCell ref="F43:K43"/>
    <mergeCell ref="F44:K44"/>
    <mergeCell ref="G49:K49"/>
    <mergeCell ref="G50:K50"/>
    <mergeCell ref="G21:L21"/>
    <mergeCell ref="G22:L22"/>
    <mergeCell ref="B2:D3"/>
    <mergeCell ref="F9:K9"/>
    <mergeCell ref="F10:K10"/>
    <mergeCell ref="G19:L19"/>
    <mergeCell ref="D12:K12"/>
    <mergeCell ref="D13:K13"/>
    <mergeCell ref="G15:K15"/>
    <mergeCell ref="G16:K16"/>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FF99"/>
  </sheetPr>
  <dimension ref="B1:I136"/>
  <sheetViews>
    <sheetView showGridLines="0" topLeftCell="A109" zoomScale="70" zoomScaleNormal="70" workbookViewId="0">
      <selection activeCell="I124" sqref="I124"/>
    </sheetView>
  </sheetViews>
  <sheetFormatPr defaultRowHeight="15" x14ac:dyDescent="0.25"/>
  <cols>
    <col min="2" max="2" width="48.7109375" customWidth="1"/>
    <col min="3" max="3" width="16.7109375" customWidth="1"/>
    <col min="4" max="5" width="14.7109375" customWidth="1"/>
    <col min="6" max="6" width="16.28515625" customWidth="1"/>
    <col min="9" max="9" width="32" customWidth="1"/>
  </cols>
  <sheetData>
    <row r="1" spans="2:9" x14ac:dyDescent="0.25">
      <c r="B1" s="21" t="s">
        <v>444</v>
      </c>
    </row>
    <row r="2" spans="2:9" ht="15" customHeight="1" x14ac:dyDescent="0.25">
      <c r="B2" s="897" t="s">
        <v>445</v>
      </c>
      <c r="C2" s="897"/>
      <c r="D2" s="897"/>
      <c r="E2" s="897"/>
      <c r="F2" s="1"/>
      <c r="G2" s="1"/>
    </row>
    <row r="3" spans="2:9" x14ac:dyDescent="0.25">
      <c r="B3" s="897"/>
      <c r="C3" s="897"/>
      <c r="D3" s="897"/>
      <c r="E3" s="897"/>
      <c r="F3" s="1"/>
      <c r="G3" s="1"/>
    </row>
    <row r="6" spans="2:9" s="155" customFormat="1" x14ac:dyDescent="0.25">
      <c r="B6" s="156" t="s">
        <v>359</v>
      </c>
    </row>
    <row r="8" spans="2:9" x14ac:dyDescent="0.25">
      <c r="B8" s="243" t="s">
        <v>360</v>
      </c>
      <c r="C8" s="244">
        <v>3.5000000000000003E-2</v>
      </c>
      <c r="D8" s="833"/>
      <c r="E8" s="833"/>
      <c r="F8" s="833"/>
      <c r="G8" s="833"/>
      <c r="H8" s="833"/>
      <c r="I8" s="833"/>
    </row>
    <row r="9" spans="2:9" x14ac:dyDescent="0.25">
      <c r="B9" s="169" t="s">
        <v>819</v>
      </c>
      <c r="C9" s="574">
        <v>5</v>
      </c>
      <c r="D9" s="833" t="s">
        <v>446</v>
      </c>
      <c r="E9" s="833"/>
      <c r="F9" s="833"/>
      <c r="G9" s="833"/>
      <c r="H9" s="833"/>
      <c r="I9" s="833"/>
    </row>
    <row r="10" spans="2:9" x14ac:dyDescent="0.25">
      <c r="B10" s="243" t="s">
        <v>820</v>
      </c>
      <c r="C10" s="244">
        <v>7.0000000000000007E-2</v>
      </c>
      <c r="D10" s="862" t="s">
        <v>418</v>
      </c>
      <c r="E10" s="864"/>
      <c r="F10" s="862" t="s">
        <v>419</v>
      </c>
      <c r="G10" s="863"/>
      <c r="H10" s="863"/>
      <c r="I10" s="864"/>
    </row>
    <row r="11" spans="2:9" x14ac:dyDescent="0.25">
      <c r="B11" s="169" t="s">
        <v>822</v>
      </c>
      <c r="C11" s="574">
        <v>5</v>
      </c>
      <c r="D11" s="648"/>
      <c r="E11" s="650"/>
      <c r="F11" s="648"/>
      <c r="G11" s="649"/>
      <c r="H11" s="649"/>
      <c r="I11" s="650"/>
    </row>
    <row r="12" spans="2:9" ht="30" x14ac:dyDescent="0.25">
      <c r="B12" s="243" t="s">
        <v>821</v>
      </c>
      <c r="C12" s="244">
        <v>7.0000000000000007E-2</v>
      </c>
      <c r="D12" s="648"/>
      <c r="E12" s="650"/>
      <c r="F12" s="648"/>
      <c r="G12" s="649"/>
      <c r="H12" s="649"/>
      <c r="I12" s="650"/>
    </row>
    <row r="13" spans="2:9" x14ac:dyDescent="0.25">
      <c r="B13" s="169" t="s">
        <v>230</v>
      </c>
      <c r="C13" s="244">
        <v>0.05</v>
      </c>
      <c r="D13" s="833"/>
      <c r="E13" s="833"/>
      <c r="F13" s="833"/>
      <c r="G13" s="833"/>
      <c r="H13" s="833"/>
      <c r="I13" s="833"/>
    </row>
    <row r="14" spans="2:9" x14ac:dyDescent="0.25">
      <c r="B14" s="169" t="s">
        <v>455</v>
      </c>
      <c r="C14" s="244">
        <v>0.05</v>
      </c>
      <c r="D14" s="833"/>
      <c r="E14" s="833"/>
      <c r="F14" s="833"/>
      <c r="G14" s="833"/>
      <c r="H14" s="833"/>
      <c r="I14" s="833"/>
    </row>
    <row r="15" spans="2:9" x14ac:dyDescent="0.25">
      <c r="B15" s="169" t="s">
        <v>529</v>
      </c>
      <c r="C15" s="245">
        <v>1</v>
      </c>
      <c r="D15" s="833" t="s">
        <v>530</v>
      </c>
      <c r="E15" s="833"/>
      <c r="F15" s="833"/>
      <c r="G15" s="833"/>
      <c r="H15" s="833"/>
      <c r="I15" s="833"/>
    </row>
    <row r="16" spans="2:9" x14ac:dyDescent="0.25">
      <c r="B16" s="243" t="s">
        <v>465</v>
      </c>
      <c r="C16" s="173">
        <v>0.2</v>
      </c>
      <c r="D16" s="833"/>
      <c r="E16" s="833"/>
      <c r="F16" s="833"/>
      <c r="G16" s="833"/>
      <c r="H16" s="833"/>
      <c r="I16" s="833"/>
    </row>
    <row r="17" spans="2:9" x14ac:dyDescent="0.25">
      <c r="B17" s="243" t="s">
        <v>499</v>
      </c>
      <c r="C17" s="173">
        <v>0.2</v>
      </c>
      <c r="D17" s="862" t="s">
        <v>494</v>
      </c>
      <c r="E17" s="863"/>
      <c r="F17" s="863"/>
      <c r="G17" s="863"/>
      <c r="H17" s="863"/>
      <c r="I17" s="864"/>
    </row>
    <row r="18" spans="2:9" x14ac:dyDescent="0.25">
      <c r="B18" s="169" t="s">
        <v>403</v>
      </c>
      <c r="C18" s="245">
        <v>0</v>
      </c>
      <c r="D18" s="833" t="s">
        <v>402</v>
      </c>
      <c r="E18" s="833"/>
      <c r="F18" s="833"/>
      <c r="G18" s="833"/>
      <c r="H18" s="833"/>
      <c r="I18" s="833"/>
    </row>
    <row r="19" spans="2:9" x14ac:dyDescent="0.25">
      <c r="B19" s="243" t="s">
        <v>331</v>
      </c>
      <c r="C19" s="158">
        <v>1000000</v>
      </c>
      <c r="D19" s="833"/>
      <c r="E19" s="833"/>
      <c r="F19" s="833"/>
      <c r="G19" s="833"/>
      <c r="H19" s="833"/>
      <c r="I19" s="833"/>
    </row>
    <row r="21" spans="2:9" s="155" customFormat="1" x14ac:dyDescent="0.25">
      <c r="B21" s="156" t="s">
        <v>0</v>
      </c>
    </row>
    <row r="23" spans="2:9" x14ac:dyDescent="0.25">
      <c r="B23" s="243" t="s">
        <v>44</v>
      </c>
      <c r="C23" s="245">
        <v>3</v>
      </c>
      <c r="D23" s="833" t="s">
        <v>304</v>
      </c>
      <c r="E23" s="833"/>
      <c r="F23" s="833"/>
      <c r="G23" s="833"/>
      <c r="H23" s="833"/>
      <c r="I23" s="833"/>
    </row>
    <row r="24" spans="2:9" x14ac:dyDescent="0.25">
      <c r="B24" s="243" t="s">
        <v>45</v>
      </c>
      <c r="C24" s="245">
        <v>3</v>
      </c>
      <c r="D24" s="833" t="s">
        <v>304</v>
      </c>
      <c r="E24" s="833"/>
      <c r="F24" s="833"/>
      <c r="G24" s="833"/>
      <c r="H24" s="833"/>
      <c r="I24" s="833"/>
    </row>
    <row r="25" spans="2:9" x14ac:dyDescent="0.25">
      <c r="B25" s="243" t="s">
        <v>255</v>
      </c>
      <c r="C25" s="158">
        <v>40000</v>
      </c>
      <c r="D25" s="833" t="s">
        <v>149</v>
      </c>
      <c r="E25" s="833"/>
      <c r="F25" s="833"/>
      <c r="G25" s="833"/>
      <c r="H25" s="833"/>
      <c r="I25" s="833"/>
    </row>
    <row r="26" spans="2:9" x14ac:dyDescent="0.25">
      <c r="B26" s="243" t="s">
        <v>259</v>
      </c>
      <c r="C26" s="158">
        <v>40000</v>
      </c>
      <c r="D26" s="833" t="s">
        <v>256</v>
      </c>
      <c r="E26" s="833"/>
      <c r="F26" s="833"/>
      <c r="G26" s="833"/>
      <c r="H26" s="833"/>
      <c r="I26" s="833"/>
    </row>
    <row r="27" spans="2:9" x14ac:dyDescent="0.25">
      <c r="B27" s="243" t="s">
        <v>49</v>
      </c>
      <c r="C27" s="158">
        <v>14000</v>
      </c>
      <c r="D27" s="833"/>
      <c r="E27" s="833"/>
      <c r="F27" s="833"/>
      <c r="G27" s="833"/>
      <c r="H27" s="833"/>
      <c r="I27" s="833"/>
    </row>
    <row r="28" spans="2:9" x14ac:dyDescent="0.25">
      <c r="B28" s="243" t="s">
        <v>339</v>
      </c>
      <c r="C28" s="158">
        <v>18000</v>
      </c>
      <c r="D28" s="833"/>
      <c r="E28" s="833"/>
      <c r="F28" s="833"/>
      <c r="G28" s="833"/>
      <c r="H28" s="833"/>
      <c r="I28" s="833"/>
    </row>
    <row r="29" spans="2:9" x14ac:dyDescent="0.25">
      <c r="B29" s="243"/>
      <c r="C29" s="186"/>
      <c r="D29" s="833"/>
      <c r="E29" s="833"/>
      <c r="F29" s="833"/>
      <c r="G29" s="833"/>
      <c r="H29" s="833"/>
      <c r="I29" s="833"/>
    </row>
    <row r="30" spans="2:9" x14ac:dyDescent="0.25">
      <c r="B30" s="243" t="s">
        <v>160</v>
      </c>
      <c r="C30" s="158">
        <v>6000</v>
      </c>
      <c r="D30" s="833"/>
      <c r="E30" s="833"/>
      <c r="F30" s="833"/>
      <c r="G30" s="833"/>
      <c r="H30" s="833"/>
      <c r="I30" s="833"/>
    </row>
    <row r="31" spans="2:9" x14ac:dyDescent="0.25">
      <c r="B31" s="243" t="s">
        <v>50</v>
      </c>
      <c r="C31" s="186">
        <f>C28/2</f>
        <v>9000</v>
      </c>
      <c r="D31" s="833"/>
      <c r="E31" s="833"/>
      <c r="F31" s="833"/>
      <c r="G31" s="833"/>
      <c r="H31" s="833"/>
      <c r="I31" s="833"/>
    </row>
    <row r="32" spans="2:9" x14ac:dyDescent="0.25">
      <c r="B32" s="243" t="s">
        <v>512</v>
      </c>
      <c r="C32" s="173">
        <v>0</v>
      </c>
      <c r="D32" s="833" t="s">
        <v>188</v>
      </c>
      <c r="E32" s="833"/>
      <c r="F32" s="833"/>
      <c r="G32" s="833"/>
      <c r="H32" s="833"/>
      <c r="I32" s="833"/>
    </row>
    <row r="34" spans="2:9" s="155" customFormat="1" x14ac:dyDescent="0.25">
      <c r="B34" s="156" t="s">
        <v>334</v>
      </c>
    </row>
    <row r="36" spans="2:9" x14ac:dyDescent="0.25">
      <c r="B36" s="217" t="s">
        <v>225</v>
      </c>
      <c r="C36" s="217" t="s">
        <v>94</v>
      </c>
      <c r="D36" s="217" t="s">
        <v>95</v>
      </c>
      <c r="E36" s="217" t="s">
        <v>96</v>
      </c>
      <c r="F36" s="217" t="s">
        <v>97</v>
      </c>
    </row>
    <row r="37" spans="2:9" x14ac:dyDescent="0.25">
      <c r="B37" s="246" t="s">
        <v>224</v>
      </c>
      <c r="C37" s="247">
        <v>1000</v>
      </c>
      <c r="D37" s="247">
        <v>1000</v>
      </c>
      <c r="E37" s="247">
        <v>1000</v>
      </c>
      <c r="F37" s="248">
        <v>1000</v>
      </c>
      <c r="G37" s="864" t="s">
        <v>579</v>
      </c>
      <c r="H37" s="833"/>
      <c r="I37" s="833"/>
    </row>
    <row r="38" spans="2:9" x14ac:dyDescent="0.25">
      <c r="B38" s="249" t="s">
        <v>253</v>
      </c>
      <c r="C38" s="250">
        <v>500</v>
      </c>
      <c r="D38" s="250">
        <v>500</v>
      </c>
      <c r="E38" s="250">
        <v>500</v>
      </c>
      <c r="F38" s="165">
        <v>500</v>
      </c>
      <c r="G38" s="864"/>
      <c r="H38" s="833"/>
      <c r="I38" s="833"/>
    </row>
    <row r="39" spans="2:9" ht="15.75" thickBot="1" x14ac:dyDescent="0.3">
      <c r="B39" s="249" t="s">
        <v>227</v>
      </c>
      <c r="C39" s="250">
        <v>500</v>
      </c>
      <c r="D39" s="250">
        <v>250</v>
      </c>
      <c r="E39" s="250">
        <v>250</v>
      </c>
      <c r="F39" s="165">
        <v>250</v>
      </c>
      <c r="G39" s="864"/>
      <c r="H39" s="833"/>
      <c r="I39" s="833"/>
    </row>
    <row r="40" spans="2:9" ht="30.75" thickBot="1" x14ac:dyDescent="0.3">
      <c r="B40" s="275" t="s">
        <v>335</v>
      </c>
      <c r="C40" s="272">
        <v>1000</v>
      </c>
      <c r="D40" s="273">
        <v>1000</v>
      </c>
      <c r="E40" s="273">
        <v>1000</v>
      </c>
      <c r="F40" s="274">
        <v>1000</v>
      </c>
      <c r="G40" s="864"/>
      <c r="H40" s="833"/>
      <c r="I40" s="833"/>
    </row>
    <row r="41" spans="2:9" ht="30" customHeight="1" x14ac:dyDescent="0.25">
      <c r="B41" s="251" t="s">
        <v>336</v>
      </c>
      <c r="C41" s="252">
        <v>0</v>
      </c>
      <c r="D41" s="252">
        <v>0</v>
      </c>
      <c r="E41" s="252">
        <v>0</v>
      </c>
      <c r="F41" s="253">
        <v>0.25</v>
      </c>
      <c r="G41" s="880" t="s">
        <v>521</v>
      </c>
      <c r="H41" s="885"/>
      <c r="I41" s="885"/>
    </row>
    <row r="43" spans="2:9" x14ac:dyDescent="0.25">
      <c r="B43" s="243" t="s">
        <v>67</v>
      </c>
      <c r="C43" s="158">
        <v>50000</v>
      </c>
      <c r="D43" s="833" t="s">
        <v>420</v>
      </c>
      <c r="E43" s="833"/>
      <c r="F43" s="833"/>
      <c r="G43" s="833"/>
      <c r="H43" s="833"/>
      <c r="I43" s="833"/>
    </row>
    <row r="45" spans="2:9" s="155" customFormat="1" x14ac:dyDescent="0.25">
      <c r="B45" s="156" t="s">
        <v>28</v>
      </c>
    </row>
    <row r="47" spans="2:9" x14ac:dyDescent="0.25">
      <c r="B47" s="243" t="s">
        <v>151</v>
      </c>
      <c r="C47" s="158">
        <v>159000</v>
      </c>
      <c r="D47" s="833" t="s">
        <v>148</v>
      </c>
      <c r="E47" s="833"/>
      <c r="F47" s="833"/>
      <c r="G47" s="833"/>
      <c r="H47" s="833"/>
      <c r="I47" s="833"/>
    </row>
    <row r="48" spans="2:9" x14ac:dyDescent="0.25">
      <c r="B48" s="243" t="s">
        <v>9</v>
      </c>
      <c r="C48" s="158">
        <v>0</v>
      </c>
      <c r="D48" s="833" t="s">
        <v>591</v>
      </c>
      <c r="E48" s="833"/>
      <c r="F48" s="833"/>
      <c r="G48" s="833"/>
      <c r="H48" s="833"/>
      <c r="I48" s="833"/>
    </row>
    <row r="49" spans="2:9" x14ac:dyDescent="0.25">
      <c r="B49" s="243" t="s">
        <v>10</v>
      </c>
      <c r="C49" s="158">
        <v>100000</v>
      </c>
      <c r="D49" s="833" t="s">
        <v>420</v>
      </c>
      <c r="E49" s="833"/>
      <c r="F49" s="833"/>
      <c r="G49" s="833"/>
      <c r="H49" s="833"/>
      <c r="I49" s="833"/>
    </row>
    <row r="50" spans="2:9" x14ac:dyDescent="0.25">
      <c r="B50" s="243" t="s">
        <v>11</v>
      </c>
      <c r="C50" s="186">
        <f>80000</f>
        <v>80000</v>
      </c>
      <c r="D50" s="833" t="s">
        <v>159</v>
      </c>
      <c r="E50" s="833"/>
      <c r="F50" s="833"/>
      <c r="G50" s="833"/>
      <c r="H50" s="833"/>
      <c r="I50" s="833"/>
    </row>
    <row r="51" spans="2:9" x14ac:dyDescent="0.25">
      <c r="B51" s="243" t="s">
        <v>477</v>
      </c>
      <c r="C51" s="304">
        <v>0.44</v>
      </c>
      <c r="D51" s="833" t="s">
        <v>478</v>
      </c>
      <c r="E51" s="833"/>
      <c r="F51" s="833"/>
      <c r="G51" s="833"/>
      <c r="H51" s="833"/>
      <c r="I51" s="833"/>
    </row>
    <row r="52" spans="2:9" x14ac:dyDescent="0.25">
      <c r="B52" s="243" t="s">
        <v>476</v>
      </c>
      <c r="C52" s="186">
        <f>C50*C51</f>
        <v>35200</v>
      </c>
      <c r="D52" s="833" t="s">
        <v>478</v>
      </c>
      <c r="E52" s="833"/>
      <c r="F52" s="833"/>
      <c r="G52" s="833"/>
      <c r="H52" s="833"/>
      <c r="I52" s="833"/>
    </row>
    <row r="53" spans="2:9" ht="30" x14ac:dyDescent="0.25">
      <c r="B53" s="243" t="s">
        <v>25</v>
      </c>
      <c r="C53" s="186">
        <f>710000</f>
        <v>710000</v>
      </c>
      <c r="D53" s="833" t="s">
        <v>478</v>
      </c>
      <c r="E53" s="833"/>
      <c r="F53" s="833"/>
      <c r="G53" s="833"/>
      <c r="H53" s="833"/>
      <c r="I53" s="833"/>
    </row>
    <row r="54" spans="2:9" x14ac:dyDescent="0.25">
      <c r="B54" s="243" t="s">
        <v>477</v>
      </c>
      <c r="C54" s="304">
        <v>0.44</v>
      </c>
      <c r="D54" s="833" t="s">
        <v>478</v>
      </c>
      <c r="E54" s="833"/>
      <c r="F54" s="833"/>
      <c r="G54" s="833"/>
      <c r="H54" s="833"/>
      <c r="I54" s="833"/>
    </row>
    <row r="55" spans="2:9" x14ac:dyDescent="0.25">
      <c r="B55" s="243" t="s">
        <v>476</v>
      </c>
      <c r="C55" s="186">
        <f>C53*C54</f>
        <v>312400</v>
      </c>
      <c r="D55" s="833" t="s">
        <v>478</v>
      </c>
      <c r="E55" s="833"/>
      <c r="F55" s="833"/>
      <c r="G55" s="833"/>
      <c r="H55" s="833"/>
      <c r="I55" s="833"/>
    </row>
    <row r="56" spans="2:9" x14ac:dyDescent="0.25">
      <c r="B56" s="243" t="s">
        <v>12</v>
      </c>
      <c r="C56" s="186">
        <f>120000</f>
        <v>120000</v>
      </c>
      <c r="D56" s="833" t="s">
        <v>478</v>
      </c>
      <c r="E56" s="833"/>
      <c r="F56" s="833"/>
      <c r="G56" s="833"/>
      <c r="H56" s="833"/>
      <c r="I56" s="833"/>
    </row>
    <row r="57" spans="2:9" x14ac:dyDescent="0.25">
      <c r="B57" s="243" t="s">
        <v>477</v>
      </c>
      <c r="C57" s="304">
        <v>0.44</v>
      </c>
      <c r="D57" s="833" t="s">
        <v>478</v>
      </c>
      <c r="E57" s="833"/>
      <c r="F57" s="833"/>
      <c r="G57" s="833"/>
      <c r="H57" s="833"/>
      <c r="I57" s="833"/>
    </row>
    <row r="58" spans="2:9" x14ac:dyDescent="0.25">
      <c r="B58" s="243" t="s">
        <v>476</v>
      </c>
      <c r="C58" s="186">
        <f>C56*C57</f>
        <v>52800</v>
      </c>
      <c r="D58" s="833" t="s">
        <v>478</v>
      </c>
      <c r="E58" s="833"/>
      <c r="F58" s="833"/>
      <c r="G58" s="833"/>
      <c r="H58" s="833"/>
      <c r="I58" s="833"/>
    </row>
    <row r="60" spans="2:9" ht="30" x14ac:dyDescent="0.25">
      <c r="B60" s="243" t="s">
        <v>34</v>
      </c>
      <c r="C60" s="158">
        <v>2750000</v>
      </c>
      <c r="D60" s="862" t="s">
        <v>420</v>
      </c>
      <c r="E60" s="863"/>
      <c r="F60" s="863"/>
      <c r="G60" s="863"/>
      <c r="H60" s="863"/>
      <c r="I60" s="864"/>
    </row>
    <row r="61" spans="2:9" x14ac:dyDescent="0.25">
      <c r="B61" s="243" t="s">
        <v>477</v>
      </c>
      <c r="C61" s="304">
        <v>0.44</v>
      </c>
      <c r="D61" s="285"/>
      <c r="E61" s="285"/>
      <c r="F61" s="285"/>
      <c r="G61" s="285"/>
      <c r="H61" s="285"/>
      <c r="I61" s="285"/>
    </row>
    <row r="62" spans="2:9" x14ac:dyDescent="0.25">
      <c r="B62" s="243" t="s">
        <v>476</v>
      </c>
      <c r="C62" s="186">
        <f>C60*C61</f>
        <v>1210000</v>
      </c>
      <c r="D62" s="285"/>
      <c r="E62" s="285"/>
      <c r="F62" s="285"/>
      <c r="G62" s="285"/>
      <c r="H62" s="285"/>
      <c r="I62" s="285"/>
    </row>
    <row r="64" spans="2:9" s="155" customFormat="1" x14ac:dyDescent="0.25">
      <c r="B64" s="156" t="s">
        <v>118</v>
      </c>
    </row>
    <row r="66" spans="2:9" x14ac:dyDescent="0.25">
      <c r="B66" s="243" t="s">
        <v>142</v>
      </c>
      <c r="C66" s="158">
        <v>515000</v>
      </c>
      <c r="D66" s="213" t="s">
        <v>148</v>
      </c>
      <c r="E66" s="889" t="s">
        <v>196</v>
      </c>
      <c r="F66" s="890"/>
      <c r="G66" s="890"/>
      <c r="H66" s="890"/>
      <c r="I66" s="891"/>
    </row>
    <row r="67" spans="2:9" x14ac:dyDescent="0.25">
      <c r="B67" s="243" t="s">
        <v>142</v>
      </c>
      <c r="C67" s="158">
        <v>645000</v>
      </c>
      <c r="D67" s="213" t="s">
        <v>148</v>
      </c>
      <c r="E67" s="892"/>
      <c r="F67" s="893"/>
      <c r="G67" s="893"/>
      <c r="H67" s="893"/>
      <c r="I67" s="894"/>
    </row>
    <row r="69" spans="2:9" s="155" customFormat="1" x14ac:dyDescent="0.25">
      <c r="B69" s="156" t="s">
        <v>13</v>
      </c>
    </row>
    <row r="71" spans="2:9" x14ac:dyDescent="0.25">
      <c r="B71" s="217"/>
      <c r="C71" s="217" t="s">
        <v>94</v>
      </c>
      <c r="D71" s="217" t="s">
        <v>95</v>
      </c>
      <c r="E71" s="217" t="s">
        <v>96</v>
      </c>
      <c r="F71" s="217" t="s">
        <v>97</v>
      </c>
    </row>
    <row r="72" spans="2:9" x14ac:dyDescent="0.25">
      <c r="B72" s="254" t="s">
        <v>98</v>
      </c>
      <c r="C72" s="158">
        <v>0</v>
      </c>
      <c r="D72" s="158">
        <v>0</v>
      </c>
      <c r="E72" s="158">
        <v>0</v>
      </c>
      <c r="F72" s="158">
        <v>200000</v>
      </c>
      <c r="G72" s="833"/>
      <c r="H72" s="833"/>
      <c r="I72" s="833"/>
    </row>
    <row r="74" spans="2:9" s="155" customFormat="1" x14ac:dyDescent="0.25">
      <c r="B74" s="156" t="s">
        <v>30</v>
      </c>
    </row>
    <row r="76" spans="2:9" x14ac:dyDescent="0.25">
      <c r="B76" s="243" t="s">
        <v>153</v>
      </c>
      <c r="C76" s="158">
        <v>40000</v>
      </c>
      <c r="D76" s="833"/>
      <c r="E76" s="833"/>
      <c r="F76" s="833"/>
      <c r="G76" s="833"/>
      <c r="H76" s="833"/>
      <c r="I76" s="833"/>
    </row>
    <row r="77" spans="2:9" x14ac:dyDescent="0.25">
      <c r="B77" s="243" t="s">
        <v>152</v>
      </c>
      <c r="C77" s="158">
        <v>40000</v>
      </c>
      <c r="D77" s="833"/>
      <c r="E77" s="833"/>
      <c r="F77" s="833"/>
      <c r="G77" s="833"/>
      <c r="H77" s="833"/>
      <c r="I77" s="833"/>
    </row>
    <row r="79" spans="2:9" ht="15" customHeight="1" x14ac:dyDescent="0.25">
      <c r="B79" s="255"/>
      <c r="C79" s="217" t="s">
        <v>94</v>
      </c>
      <c r="D79" s="217" t="s">
        <v>95</v>
      </c>
      <c r="E79" s="217" t="s">
        <v>96</v>
      </c>
      <c r="F79" s="217" t="s">
        <v>97</v>
      </c>
    </row>
    <row r="80" spans="2:9" x14ac:dyDescent="0.25">
      <c r="B80" s="275" t="s">
        <v>505</v>
      </c>
      <c r="C80" s="481">
        <f>352000 * 6/8</f>
        <v>264000</v>
      </c>
      <c r="D80" s="247">
        <f>352000 * 6/8</f>
        <v>264000</v>
      </c>
      <c r="E80" s="247">
        <f>352000 * 6/8</f>
        <v>264000</v>
      </c>
      <c r="F80" s="248">
        <f>352000 * 6/8</f>
        <v>264000</v>
      </c>
      <c r="G80" s="895" t="s">
        <v>509</v>
      </c>
      <c r="H80" s="895"/>
      <c r="I80" s="896"/>
    </row>
    <row r="81" spans="2:9" x14ac:dyDescent="0.25">
      <c r="B81" s="275" t="s">
        <v>506</v>
      </c>
      <c r="C81" s="482">
        <v>0</v>
      </c>
      <c r="D81" s="250">
        <v>0</v>
      </c>
      <c r="E81" s="250">
        <v>0</v>
      </c>
      <c r="F81" s="165">
        <v>0</v>
      </c>
      <c r="G81" s="887" t="s">
        <v>402</v>
      </c>
      <c r="H81" s="887"/>
      <c r="I81" s="888"/>
    </row>
    <row r="82" spans="2:9" x14ac:dyDescent="0.25">
      <c r="B82" s="275" t="s">
        <v>508</v>
      </c>
      <c r="C82" s="482">
        <f>352000 * 6/8</f>
        <v>264000</v>
      </c>
      <c r="D82" s="250">
        <f>352000 * 6/8</f>
        <v>264000</v>
      </c>
      <c r="E82" s="250">
        <f>352000 * 6/8</f>
        <v>264000</v>
      </c>
      <c r="F82" s="165">
        <f>352000 * 12/8</f>
        <v>528000</v>
      </c>
      <c r="G82" s="895" t="s">
        <v>510</v>
      </c>
      <c r="H82" s="895"/>
      <c r="I82" s="896"/>
    </row>
    <row r="83" spans="2:9" x14ac:dyDescent="0.25">
      <c r="B83" s="275" t="s">
        <v>507</v>
      </c>
      <c r="C83" s="482"/>
      <c r="D83" s="250"/>
      <c r="E83" s="250">
        <v>0</v>
      </c>
      <c r="F83" s="165">
        <v>0</v>
      </c>
      <c r="G83" s="397"/>
      <c r="H83" s="309"/>
      <c r="I83" s="310"/>
    </row>
    <row r="84" spans="2:9" x14ac:dyDescent="0.25">
      <c r="B84" s="275" t="s">
        <v>425</v>
      </c>
      <c r="C84" s="482">
        <v>0</v>
      </c>
      <c r="D84" s="250">
        <v>0</v>
      </c>
      <c r="E84" s="250">
        <v>0</v>
      </c>
      <c r="F84" s="165">
        <f>352000 * 6/8</f>
        <v>264000</v>
      </c>
      <c r="G84" s="895" t="s">
        <v>509</v>
      </c>
      <c r="H84" s="895"/>
      <c r="I84" s="896"/>
    </row>
    <row r="85" spans="2:9" x14ac:dyDescent="0.25">
      <c r="B85" s="275" t="s">
        <v>424</v>
      </c>
      <c r="C85" s="482">
        <v>0</v>
      </c>
      <c r="D85" s="250">
        <v>0</v>
      </c>
      <c r="E85" s="250">
        <v>0</v>
      </c>
      <c r="F85" s="165">
        <v>0</v>
      </c>
      <c r="G85" s="887"/>
      <c r="H85" s="887"/>
      <c r="I85" s="888"/>
    </row>
    <row r="86" spans="2:9" ht="30" x14ac:dyDescent="0.25">
      <c r="B86" s="275" t="s">
        <v>417</v>
      </c>
      <c r="C86" s="482">
        <v>0</v>
      </c>
      <c r="D86" s="250">
        <v>0</v>
      </c>
      <c r="E86" s="250">
        <v>0</v>
      </c>
      <c r="F86" s="165">
        <v>40000</v>
      </c>
      <c r="G86" s="887" t="s">
        <v>416</v>
      </c>
      <c r="H86" s="887"/>
      <c r="I86" s="888"/>
    </row>
    <row r="87" spans="2:9" ht="30" x14ac:dyDescent="0.25">
      <c r="B87" s="275" t="s">
        <v>404</v>
      </c>
      <c r="C87" s="482">
        <f>D87</f>
        <v>103500</v>
      </c>
      <c r="D87" s="250">
        <f>E87*1.5</f>
        <v>103500</v>
      </c>
      <c r="E87" s="250">
        <f>F87*1.5</f>
        <v>69000</v>
      </c>
      <c r="F87" s="165">
        <f>46000</f>
        <v>46000</v>
      </c>
      <c r="G87" s="887" t="s">
        <v>402</v>
      </c>
      <c r="H87" s="887"/>
      <c r="I87" s="888"/>
    </row>
    <row r="88" spans="2:9" ht="30" x14ac:dyDescent="0.25">
      <c r="B88" s="275" t="s">
        <v>405</v>
      </c>
      <c r="C88" s="482">
        <v>75000</v>
      </c>
      <c r="D88" s="250">
        <v>25000</v>
      </c>
      <c r="E88" s="250">
        <v>25000</v>
      </c>
      <c r="F88" s="165">
        <f>34500</f>
        <v>34500</v>
      </c>
      <c r="G88" s="887" t="s">
        <v>402</v>
      </c>
      <c r="H88" s="887"/>
      <c r="I88" s="888"/>
    </row>
    <row r="89" spans="2:9" ht="30" x14ac:dyDescent="0.25">
      <c r="B89" s="275" t="s">
        <v>406</v>
      </c>
      <c r="C89" s="482">
        <f>D89</f>
        <v>0</v>
      </c>
      <c r="D89" s="250">
        <f>E89*1.5</f>
        <v>0</v>
      </c>
      <c r="E89" s="250">
        <f>F89*1.5</f>
        <v>0</v>
      </c>
      <c r="F89" s="165">
        <f>46000*$C$18</f>
        <v>0</v>
      </c>
      <c r="G89" s="887" t="s">
        <v>402</v>
      </c>
      <c r="H89" s="887"/>
      <c r="I89" s="888"/>
    </row>
    <row r="90" spans="2:9" ht="30" x14ac:dyDescent="0.25">
      <c r="B90" s="275" t="s">
        <v>407</v>
      </c>
      <c r="C90" s="482">
        <v>75000</v>
      </c>
      <c r="D90" s="250">
        <v>25000</v>
      </c>
      <c r="E90" s="250">
        <v>25000</v>
      </c>
      <c r="F90" s="165">
        <f>34500*$C$18</f>
        <v>0</v>
      </c>
      <c r="G90" s="887" t="s">
        <v>402</v>
      </c>
      <c r="H90" s="887"/>
      <c r="I90" s="888"/>
    </row>
    <row r="91" spans="2:9" x14ac:dyDescent="0.25">
      <c r="B91" s="275" t="s">
        <v>408</v>
      </c>
      <c r="C91" s="482">
        <f t="shared" ref="C91:E92" si="0">D91*1.5</f>
        <v>281475</v>
      </c>
      <c r="D91" s="250">
        <f t="shared" si="0"/>
        <v>187650</v>
      </c>
      <c r="E91" s="250">
        <f t="shared" si="0"/>
        <v>125100</v>
      </c>
      <c r="F91" s="165">
        <v>83400</v>
      </c>
      <c r="G91" s="887" t="s">
        <v>402</v>
      </c>
      <c r="H91" s="887"/>
      <c r="I91" s="888"/>
    </row>
    <row r="92" spans="2:9" x14ac:dyDescent="0.25">
      <c r="B92" s="312" t="s">
        <v>409</v>
      </c>
      <c r="C92" s="261">
        <f t="shared" si="0"/>
        <v>299362.5</v>
      </c>
      <c r="D92" s="262">
        <f t="shared" si="0"/>
        <v>199575</v>
      </c>
      <c r="E92" s="262">
        <f t="shared" si="0"/>
        <v>133050</v>
      </c>
      <c r="F92" s="157">
        <f>88700</f>
        <v>88700</v>
      </c>
      <c r="G92" s="898" t="s">
        <v>402</v>
      </c>
      <c r="H92" s="898"/>
      <c r="I92" s="899"/>
    </row>
    <row r="94" spans="2:9" ht="30" x14ac:dyDescent="0.25">
      <c r="B94" s="243" t="s">
        <v>423</v>
      </c>
      <c r="C94" s="158">
        <v>60000</v>
      </c>
      <c r="D94" s="833" t="s">
        <v>420</v>
      </c>
      <c r="E94" s="833"/>
      <c r="F94" s="833"/>
      <c r="G94" s="833"/>
      <c r="H94" s="833"/>
      <c r="I94" s="833"/>
    </row>
    <row r="96" spans="2:9" s="155" customFormat="1" x14ac:dyDescent="0.25">
      <c r="B96" s="156" t="s">
        <v>31</v>
      </c>
    </row>
    <row r="98" spans="2:9" x14ac:dyDescent="0.25">
      <c r="B98" s="243" t="s">
        <v>154</v>
      </c>
      <c r="C98" s="158">
        <v>45000</v>
      </c>
      <c r="D98" s="257" t="s">
        <v>148</v>
      </c>
      <c r="E98" s="833"/>
      <c r="F98" s="833"/>
      <c r="G98" s="833"/>
      <c r="H98" s="833"/>
      <c r="I98" s="833"/>
    </row>
    <row r="99" spans="2:9" x14ac:dyDescent="0.25">
      <c r="B99" s="243" t="s">
        <v>155</v>
      </c>
      <c r="C99" s="158">
        <v>20000</v>
      </c>
      <c r="D99" s="257" t="s">
        <v>148</v>
      </c>
      <c r="E99" s="833"/>
      <c r="F99" s="833"/>
      <c r="G99" s="833"/>
      <c r="H99" s="833"/>
      <c r="I99" s="833"/>
    </row>
    <row r="100" spans="2:9" x14ac:dyDescent="0.25">
      <c r="B100" s="243" t="s">
        <v>69</v>
      </c>
      <c r="C100" s="158">
        <v>17000</v>
      </c>
      <c r="D100" s="257" t="s">
        <v>74</v>
      </c>
      <c r="E100" s="862" t="s">
        <v>420</v>
      </c>
      <c r="F100" s="863"/>
      <c r="G100" s="863"/>
      <c r="H100" s="863"/>
      <c r="I100" s="864"/>
    </row>
    <row r="101" spans="2:9" x14ac:dyDescent="0.25">
      <c r="B101" s="243" t="s">
        <v>500</v>
      </c>
      <c r="C101" s="158">
        <v>8000</v>
      </c>
      <c r="D101" s="297" t="s">
        <v>74</v>
      </c>
      <c r="E101" s="296" t="s">
        <v>494</v>
      </c>
      <c r="F101" s="294"/>
      <c r="G101" s="294"/>
      <c r="H101" s="294"/>
      <c r="I101" s="295"/>
    </row>
    <row r="102" spans="2:9" x14ac:dyDescent="0.25">
      <c r="B102" s="243" t="s">
        <v>100</v>
      </c>
      <c r="C102" s="158">
        <v>15000</v>
      </c>
      <c r="D102" s="257" t="s">
        <v>75</v>
      </c>
      <c r="E102" s="862" t="s">
        <v>420</v>
      </c>
      <c r="F102" s="863"/>
      <c r="G102" s="863"/>
      <c r="H102" s="863"/>
      <c r="I102" s="864"/>
    </row>
    <row r="103" spans="2:9" x14ac:dyDescent="0.25">
      <c r="B103" s="243" t="s">
        <v>101</v>
      </c>
      <c r="C103" s="158">
        <v>7500</v>
      </c>
      <c r="D103" s="257" t="s">
        <v>75</v>
      </c>
      <c r="E103" s="862" t="s">
        <v>420</v>
      </c>
      <c r="F103" s="863"/>
      <c r="G103" s="863"/>
      <c r="H103" s="863"/>
      <c r="I103" s="864"/>
    </row>
    <row r="104" spans="2:9" ht="30" x14ac:dyDescent="0.25">
      <c r="B104" s="243" t="s">
        <v>501</v>
      </c>
      <c r="C104" s="158">
        <v>20000</v>
      </c>
      <c r="D104" s="297" t="s">
        <v>74</v>
      </c>
      <c r="E104" s="296" t="s">
        <v>494</v>
      </c>
      <c r="F104" s="294"/>
      <c r="G104" s="294"/>
      <c r="H104" s="294"/>
      <c r="I104" s="295"/>
    </row>
    <row r="105" spans="2:9" ht="30" x14ac:dyDescent="0.25">
      <c r="B105" s="243" t="s">
        <v>447</v>
      </c>
      <c r="C105" s="158">
        <v>50000</v>
      </c>
      <c r="D105" s="257" t="s">
        <v>74</v>
      </c>
      <c r="E105" s="862" t="s">
        <v>420</v>
      </c>
      <c r="F105" s="863"/>
      <c r="G105" s="863"/>
      <c r="H105" s="863"/>
      <c r="I105" s="864"/>
    </row>
    <row r="106" spans="2:9" ht="30" x14ac:dyDescent="0.25">
      <c r="B106" s="243" t="s">
        <v>448</v>
      </c>
      <c r="C106" s="158">
        <v>50000</v>
      </c>
      <c r="D106" s="257" t="s">
        <v>74</v>
      </c>
      <c r="E106" s="862" t="s">
        <v>420</v>
      </c>
      <c r="F106" s="863"/>
      <c r="G106" s="863"/>
      <c r="H106" s="863"/>
      <c r="I106" s="864"/>
    </row>
    <row r="107" spans="2:9" x14ac:dyDescent="0.25">
      <c r="B107" s="243" t="s">
        <v>70</v>
      </c>
      <c r="C107" s="158">
        <v>7500</v>
      </c>
      <c r="D107" s="257" t="s">
        <v>75</v>
      </c>
      <c r="E107" s="862" t="s">
        <v>420</v>
      </c>
      <c r="F107" s="863"/>
      <c r="G107" s="863"/>
      <c r="H107" s="863"/>
      <c r="I107" s="864"/>
    </row>
    <row r="108" spans="2:9" x14ac:dyDescent="0.25">
      <c r="B108" s="243" t="s">
        <v>71</v>
      </c>
      <c r="C108" s="158">
        <v>7500</v>
      </c>
      <c r="D108" s="257" t="s">
        <v>75</v>
      </c>
      <c r="E108" s="862" t="s">
        <v>420</v>
      </c>
      <c r="F108" s="863"/>
      <c r="G108" s="863"/>
      <c r="H108" s="863"/>
      <c r="I108" s="864"/>
    </row>
    <row r="109" spans="2:9" x14ac:dyDescent="0.25">
      <c r="B109" s="243" t="s">
        <v>474</v>
      </c>
      <c r="C109" s="158">
        <v>80000</v>
      </c>
      <c r="D109" s="257">
        <v>2021</v>
      </c>
      <c r="E109" s="862" t="s">
        <v>420</v>
      </c>
      <c r="F109" s="863"/>
      <c r="G109" s="863"/>
      <c r="H109" s="863"/>
      <c r="I109" s="864"/>
    </row>
    <row r="110" spans="2:9" ht="30" x14ac:dyDescent="0.25">
      <c r="B110" s="243" t="s">
        <v>475</v>
      </c>
      <c r="C110" s="158">
        <v>80000</v>
      </c>
      <c r="D110" s="257">
        <v>2022</v>
      </c>
      <c r="E110" s="862" t="s">
        <v>420</v>
      </c>
      <c r="F110" s="863"/>
      <c r="G110" s="863"/>
      <c r="H110" s="863"/>
      <c r="I110" s="864"/>
    </row>
    <row r="112" spans="2:9" s="155" customFormat="1" x14ac:dyDescent="0.25">
      <c r="B112" s="156" t="s">
        <v>340</v>
      </c>
    </row>
    <row r="114" spans="2:9" x14ac:dyDescent="0.25">
      <c r="B114" s="243" t="s">
        <v>157</v>
      </c>
      <c r="C114" s="158">
        <v>3100</v>
      </c>
      <c r="D114" s="833" t="s">
        <v>148</v>
      </c>
      <c r="E114" s="833"/>
      <c r="F114" s="833"/>
      <c r="G114" s="833"/>
      <c r="H114" s="833"/>
      <c r="I114" s="833"/>
    </row>
    <row r="116" spans="2:9" x14ac:dyDescent="0.25">
      <c r="B116" s="243"/>
      <c r="C116" s="217" t="s">
        <v>94</v>
      </c>
      <c r="D116" s="217" t="s">
        <v>95</v>
      </c>
      <c r="E116" s="217" t="s">
        <v>96</v>
      </c>
      <c r="F116" s="217" t="s">
        <v>97</v>
      </c>
    </row>
    <row r="117" spans="2:9" ht="46.5" customHeight="1" x14ac:dyDescent="0.25">
      <c r="B117" s="258" t="s">
        <v>345</v>
      </c>
      <c r="C117" s="484">
        <f t="shared" ref="C117:E118" si="1">D117*1.25</f>
        <v>2865234.375</v>
      </c>
      <c r="D117" s="484">
        <f t="shared" si="1"/>
        <v>2292187.5</v>
      </c>
      <c r="E117" s="484">
        <f t="shared" si="1"/>
        <v>1833750</v>
      </c>
      <c r="F117" s="157">
        <v>1467000</v>
      </c>
      <c r="G117" s="885" t="s">
        <v>491</v>
      </c>
      <c r="H117" s="885"/>
      <c r="I117" s="885"/>
    </row>
    <row r="118" spans="2:9" ht="28.9" customHeight="1" x14ac:dyDescent="0.25">
      <c r="B118" s="258" t="s">
        <v>346</v>
      </c>
      <c r="C118" s="484">
        <f>D118*1.5</f>
        <v>515625</v>
      </c>
      <c r="D118" s="484">
        <f t="shared" si="1"/>
        <v>343750</v>
      </c>
      <c r="E118" s="484">
        <f t="shared" si="1"/>
        <v>275000</v>
      </c>
      <c r="F118" s="483">
        <f>ROUND(F117*0.15,-3)</f>
        <v>220000</v>
      </c>
      <c r="G118" s="885" t="s">
        <v>581</v>
      </c>
      <c r="H118" s="885"/>
      <c r="I118" s="885"/>
    </row>
    <row r="119" spans="2:9" x14ac:dyDescent="0.25">
      <c r="C119" s="3"/>
      <c r="D119" s="30"/>
      <c r="E119" s="30"/>
      <c r="F119" s="32"/>
      <c r="G119" s="32"/>
    </row>
    <row r="120" spans="2:9" x14ac:dyDescent="0.25">
      <c r="C120" s="3"/>
      <c r="D120" s="3"/>
      <c r="E120" s="3"/>
    </row>
    <row r="121" spans="2:9" x14ac:dyDescent="0.25">
      <c r="B121" s="263" t="s">
        <v>377</v>
      </c>
      <c r="C121" s="217">
        <v>2019</v>
      </c>
      <c r="D121" s="217">
        <v>2020</v>
      </c>
      <c r="E121" s="217">
        <v>2021</v>
      </c>
      <c r="F121" s="217">
        <v>2022</v>
      </c>
      <c r="G121" s="217">
        <v>2023</v>
      </c>
      <c r="H121" s="217">
        <v>2024</v>
      </c>
    </row>
    <row r="122" spans="2:9" x14ac:dyDescent="0.25">
      <c r="B122" s="264" t="s">
        <v>378</v>
      </c>
      <c r="C122" s="265">
        <f>1/4</f>
        <v>0.25</v>
      </c>
      <c r="D122" s="259">
        <f>2/4</f>
        <v>0.5</v>
      </c>
      <c r="E122" s="259">
        <f>1/4</f>
        <v>0.25</v>
      </c>
      <c r="F122" s="259">
        <v>0</v>
      </c>
      <c r="G122" s="259">
        <v>0</v>
      </c>
      <c r="H122" s="266">
        <v>0</v>
      </c>
      <c r="I122" s="228"/>
    </row>
    <row r="123" spans="2:9" x14ac:dyDescent="0.25">
      <c r="B123" s="267" t="s">
        <v>379</v>
      </c>
      <c r="C123" s="268">
        <f>1/4</f>
        <v>0.25</v>
      </c>
      <c r="D123" s="260">
        <f>2/4</f>
        <v>0.5</v>
      </c>
      <c r="E123" s="260">
        <f>1/4</f>
        <v>0.25</v>
      </c>
      <c r="F123" s="260">
        <v>0</v>
      </c>
      <c r="G123" s="260">
        <v>0</v>
      </c>
      <c r="H123" s="269">
        <v>0</v>
      </c>
      <c r="I123" s="228"/>
    </row>
    <row r="124" spans="2:9" x14ac:dyDescent="0.25">
      <c r="B124" s="267" t="s">
        <v>380</v>
      </c>
      <c r="C124" s="665">
        <f>1/2</f>
        <v>0.5</v>
      </c>
      <c r="D124" s="260">
        <f>2/4</f>
        <v>0.5</v>
      </c>
      <c r="E124" s="685">
        <v>0</v>
      </c>
      <c r="F124" s="260">
        <v>0</v>
      </c>
      <c r="G124" s="260">
        <v>0</v>
      </c>
      <c r="H124" s="269">
        <v>0</v>
      </c>
      <c r="I124" s="228" t="s">
        <v>893</v>
      </c>
    </row>
    <row r="125" spans="2:9" x14ac:dyDescent="0.25">
      <c r="B125" s="267" t="s">
        <v>381</v>
      </c>
      <c r="C125" s="268">
        <f>0.2</f>
        <v>0.2</v>
      </c>
      <c r="D125" s="260">
        <v>0.6</v>
      </c>
      <c r="E125" s="260">
        <v>0.2</v>
      </c>
      <c r="F125" s="260">
        <v>0</v>
      </c>
      <c r="G125" s="260">
        <v>0</v>
      </c>
      <c r="H125" s="269">
        <v>0</v>
      </c>
      <c r="I125" s="228"/>
    </row>
    <row r="126" spans="2:9" x14ac:dyDescent="0.25">
      <c r="B126" s="270" t="s">
        <v>382</v>
      </c>
      <c r="C126" s="271">
        <v>0.28999999999999998</v>
      </c>
      <c r="D126" s="252">
        <v>0.56999999999999995</v>
      </c>
      <c r="E126" s="252">
        <v>0.14000000000000001</v>
      </c>
      <c r="F126" s="252">
        <v>0</v>
      </c>
      <c r="G126" s="252">
        <v>0</v>
      </c>
      <c r="H126" s="253">
        <v>0</v>
      </c>
      <c r="I126" s="228"/>
    </row>
    <row r="127" spans="2:9" x14ac:dyDescent="0.25">
      <c r="C127" s="3"/>
      <c r="D127" s="3"/>
      <c r="E127" s="3"/>
    </row>
    <row r="128" spans="2:9" x14ac:dyDescent="0.25">
      <c r="B128" s="255"/>
      <c r="C128" s="256" t="s">
        <v>94</v>
      </c>
      <c r="D128" s="256" t="s">
        <v>95</v>
      </c>
      <c r="E128" s="256" t="s">
        <v>96</v>
      </c>
      <c r="F128" s="256" t="s">
        <v>97</v>
      </c>
    </row>
    <row r="129" spans="2:9" x14ac:dyDescent="0.25">
      <c r="B129" s="238" t="s">
        <v>572</v>
      </c>
      <c r="C129" s="666">
        <v>0</v>
      </c>
      <c r="D129" s="666">
        <v>0</v>
      </c>
      <c r="E129" s="666">
        <v>0</v>
      </c>
      <c r="F129" s="666">
        <v>0</v>
      </c>
      <c r="G129" s="355"/>
      <c r="H129" s="356"/>
      <c r="I129" s="357"/>
    </row>
    <row r="130" spans="2:9" x14ac:dyDescent="0.25">
      <c r="B130" s="238" t="s">
        <v>573</v>
      </c>
      <c r="C130" s="667">
        <v>0</v>
      </c>
      <c r="D130" s="667">
        <v>0</v>
      </c>
      <c r="E130" s="667">
        <v>0</v>
      </c>
      <c r="F130" s="668">
        <v>1</v>
      </c>
      <c r="G130" s="355" t="s">
        <v>808</v>
      </c>
      <c r="H130" s="356"/>
      <c r="I130" s="357"/>
    </row>
    <row r="131" spans="2:9" x14ac:dyDescent="0.25">
      <c r="B131" s="238" t="s">
        <v>574</v>
      </c>
      <c r="C131" s="666">
        <v>0</v>
      </c>
      <c r="D131" s="666">
        <v>0</v>
      </c>
      <c r="E131" s="666">
        <v>0</v>
      </c>
      <c r="F131" s="666">
        <v>0</v>
      </c>
      <c r="G131" s="355"/>
      <c r="H131" s="356"/>
      <c r="I131" s="357"/>
    </row>
    <row r="132" spans="2:9" x14ac:dyDescent="0.25">
      <c r="B132" s="238" t="s">
        <v>575</v>
      </c>
      <c r="C132" s="666">
        <v>0</v>
      </c>
      <c r="D132" s="666">
        <v>0</v>
      </c>
      <c r="E132" s="666">
        <v>0</v>
      </c>
      <c r="F132" s="668">
        <v>0</v>
      </c>
      <c r="G132" s="355" t="s">
        <v>809</v>
      </c>
      <c r="H132" s="356"/>
      <c r="I132" s="357"/>
    </row>
    <row r="133" spans="2:9" ht="15.75" thickBot="1" x14ac:dyDescent="0.3">
      <c r="B133" s="238" t="s">
        <v>576</v>
      </c>
      <c r="C133" s="666">
        <v>0</v>
      </c>
      <c r="D133" s="666">
        <v>0</v>
      </c>
      <c r="E133" s="666">
        <v>0</v>
      </c>
      <c r="F133" s="666">
        <v>0</v>
      </c>
      <c r="G133" s="398" t="s">
        <v>809</v>
      </c>
      <c r="H133" s="399"/>
      <c r="I133" s="400"/>
    </row>
    <row r="134" spans="2:9" ht="30.75" thickBot="1" x14ac:dyDescent="0.3">
      <c r="B134" s="312" t="s">
        <v>577</v>
      </c>
      <c r="C134" s="670">
        <f>AVERAGE(C129:C133)</f>
        <v>0</v>
      </c>
      <c r="D134" s="671">
        <f>AVERAGE(D129:D133)</f>
        <v>0</v>
      </c>
      <c r="E134" s="671">
        <f>AVERAGE(E129:E133)</f>
        <v>0</v>
      </c>
      <c r="F134" s="669">
        <f>AVERAGE(F129:F133)</f>
        <v>0.2</v>
      </c>
      <c r="G134" s="886"/>
      <c r="H134" s="863"/>
      <c r="I134" s="864"/>
    </row>
    <row r="136" spans="2:9" ht="30" x14ac:dyDescent="0.25">
      <c r="B136" s="813" t="s">
        <v>883</v>
      </c>
      <c r="C136" s="122">
        <v>3000000</v>
      </c>
      <c r="D136" t="s">
        <v>884</v>
      </c>
    </row>
  </sheetData>
  <mergeCells count="73">
    <mergeCell ref="G117:I117"/>
    <mergeCell ref="G118:I118"/>
    <mergeCell ref="F10:I10"/>
    <mergeCell ref="D10:E10"/>
    <mergeCell ref="E107:I107"/>
    <mergeCell ref="E108:I108"/>
    <mergeCell ref="E109:I109"/>
    <mergeCell ref="E110:I110"/>
    <mergeCell ref="D114:I114"/>
    <mergeCell ref="E99:I99"/>
    <mergeCell ref="E100:I100"/>
    <mergeCell ref="E102:I102"/>
    <mergeCell ref="E103:I103"/>
    <mergeCell ref="E105:I105"/>
    <mergeCell ref="D57:I57"/>
    <mergeCell ref="D58:I58"/>
    <mergeCell ref="E106:I106"/>
    <mergeCell ref="G92:I92"/>
    <mergeCell ref="D94:I94"/>
    <mergeCell ref="E98:I98"/>
    <mergeCell ref="G86:I86"/>
    <mergeCell ref="G87:I87"/>
    <mergeCell ref="G88:I88"/>
    <mergeCell ref="G89:I89"/>
    <mergeCell ref="G90:I90"/>
    <mergeCell ref="G91:I91"/>
    <mergeCell ref="G84:I84"/>
    <mergeCell ref="D55:I55"/>
    <mergeCell ref="D54:I54"/>
    <mergeCell ref="G82:I82"/>
    <mergeCell ref="D52:I52"/>
    <mergeCell ref="D19:I19"/>
    <mergeCell ref="D23:I23"/>
    <mergeCell ref="D24:I24"/>
    <mergeCell ref="D25:I25"/>
    <mergeCell ref="D26:I26"/>
    <mergeCell ref="B2:E3"/>
    <mergeCell ref="D15:I15"/>
    <mergeCell ref="D14:I14"/>
    <mergeCell ref="D18:I18"/>
    <mergeCell ref="D8:I8"/>
    <mergeCell ref="D9:I9"/>
    <mergeCell ref="D13:I13"/>
    <mergeCell ref="D16:I16"/>
    <mergeCell ref="D17:I17"/>
    <mergeCell ref="G134:I134"/>
    <mergeCell ref="D51:I51"/>
    <mergeCell ref="D47:I47"/>
    <mergeCell ref="D48:I48"/>
    <mergeCell ref="D49:I49"/>
    <mergeCell ref="G85:I85"/>
    <mergeCell ref="D50:I50"/>
    <mergeCell ref="D53:I53"/>
    <mergeCell ref="D56:I56"/>
    <mergeCell ref="D60:I60"/>
    <mergeCell ref="E66:I67"/>
    <mergeCell ref="G72:I72"/>
    <mergeCell ref="D76:I76"/>
    <mergeCell ref="D77:I77"/>
    <mergeCell ref="G80:I80"/>
    <mergeCell ref="G81:I81"/>
    <mergeCell ref="G39:I39"/>
    <mergeCell ref="G40:I40"/>
    <mergeCell ref="G41:I41"/>
    <mergeCell ref="D43:I43"/>
    <mergeCell ref="D27:I27"/>
    <mergeCell ref="D30:I30"/>
    <mergeCell ref="D31:I31"/>
    <mergeCell ref="D32:I32"/>
    <mergeCell ref="G37:I37"/>
    <mergeCell ref="G38:I38"/>
    <mergeCell ref="D28:I28"/>
    <mergeCell ref="D29:I29"/>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59999389629810485"/>
  </sheetPr>
  <dimension ref="A1:BS165"/>
  <sheetViews>
    <sheetView tabSelected="1" zoomScale="80" zoomScaleNormal="80" workbookViewId="0">
      <pane xSplit="4" ySplit="5" topLeftCell="E6" activePane="bottomRight" state="frozen"/>
      <selection pane="topRight" activeCell="E1" sqref="E1"/>
      <selection pane="bottomLeft" activeCell="A6" sqref="A6"/>
      <selection pane="bottomRight" activeCell="E6" sqref="E6"/>
    </sheetView>
  </sheetViews>
  <sheetFormatPr defaultRowHeight="15" x14ac:dyDescent="0.25"/>
  <cols>
    <col min="1" max="1" width="6" customWidth="1"/>
    <col min="2" max="2" width="19.85546875" customWidth="1"/>
    <col min="3" max="3" width="33.28515625" style="1" customWidth="1"/>
    <col min="4" max="4" width="16.5703125" style="1" customWidth="1"/>
    <col min="5" max="5" width="37" style="1" customWidth="1"/>
    <col min="6" max="6" width="24.7109375" style="1" customWidth="1"/>
    <col min="8" max="9" width="9.140625" customWidth="1"/>
    <col min="10" max="10" width="15" style="40" customWidth="1"/>
    <col min="11" max="11" width="12.7109375" style="1" customWidth="1"/>
    <col min="12" max="12" width="16.28515625" customWidth="1"/>
    <col min="13" max="13" width="17.140625" customWidth="1"/>
    <col min="14" max="14" width="17.5703125" customWidth="1"/>
    <col min="15" max="15" width="15.5703125" customWidth="1"/>
    <col min="16" max="16" width="15.42578125" customWidth="1"/>
    <col min="17" max="17" width="15.85546875" customWidth="1"/>
    <col min="18" max="18" width="16.85546875" customWidth="1"/>
    <col min="19" max="19" width="16.5703125" customWidth="1"/>
    <col min="20" max="21" width="16.28515625" customWidth="1"/>
    <col min="23" max="23" width="11.140625" customWidth="1"/>
    <col min="24" max="24" width="10.7109375" customWidth="1"/>
    <col min="25" max="25" width="17.42578125" customWidth="1"/>
    <col min="26" max="26" width="10.140625" customWidth="1"/>
    <col min="27" max="27" width="13.7109375" customWidth="1"/>
    <col min="28" max="28" width="8.7109375" customWidth="1"/>
    <col min="29" max="29" width="11.28515625" customWidth="1"/>
    <col min="30" max="30" width="9.42578125" customWidth="1"/>
    <col min="31" max="31" width="7.42578125" style="23" customWidth="1"/>
    <col min="32" max="32" width="11.7109375" style="23" customWidth="1"/>
    <col min="33" max="33" width="6.28515625" customWidth="1"/>
    <col min="34" max="34" width="6.42578125" customWidth="1"/>
    <col min="35" max="36" width="12.7109375" customWidth="1"/>
    <col min="37" max="37" width="17.5703125" customWidth="1"/>
    <col min="38" max="39" width="12.7109375" customWidth="1"/>
    <col min="40" max="40" width="14.5703125" customWidth="1"/>
    <col min="41" max="41" width="13.28515625" customWidth="1"/>
    <col min="42" max="42" width="16.85546875" customWidth="1"/>
    <col min="43" max="43" width="12.28515625" bestFit="1" customWidth="1"/>
    <col min="44" max="44" width="15" style="40" customWidth="1"/>
    <col min="46" max="46" width="15" style="40" customWidth="1"/>
    <col min="48" max="48" width="15.28515625" customWidth="1"/>
    <col min="49" max="49" width="14.5703125" customWidth="1"/>
    <col min="50" max="50" width="18.140625" customWidth="1"/>
    <col min="51" max="51" width="16.28515625" customWidth="1"/>
    <col min="52" max="52" width="14.42578125" customWidth="1"/>
    <col min="53" max="53" width="16.140625" customWidth="1"/>
    <col min="54" max="54" width="16.85546875" customWidth="1"/>
    <col min="55" max="55" width="13.42578125" customWidth="1"/>
    <col min="57" max="57" width="19.85546875" customWidth="1"/>
    <col min="59" max="59" width="55.28515625" customWidth="1"/>
    <col min="62" max="67" width="13.42578125" customWidth="1"/>
    <col min="68" max="68" width="14.28515625" customWidth="1"/>
    <col min="69" max="69" width="14.140625" customWidth="1"/>
    <col min="70" max="70" width="13.42578125" style="23" bestFit="1" customWidth="1"/>
    <col min="71" max="71" width="9.140625" style="23"/>
  </cols>
  <sheetData>
    <row r="1" spans="1:71" ht="45" x14ac:dyDescent="0.25">
      <c r="B1" s="45" t="str">
        <f>CALC_Current_option!E9</f>
        <v>Cordon 3_CAZ C</v>
      </c>
      <c r="J1" s="42"/>
      <c r="T1" s="23"/>
      <c r="U1" s="23"/>
      <c r="W1" s="692" t="s">
        <v>23</v>
      </c>
      <c r="X1" s="692" t="s">
        <v>24</v>
      </c>
      <c r="Y1" s="692" t="s">
        <v>19</v>
      </c>
      <c r="Z1" s="692" t="s">
        <v>18</v>
      </c>
      <c r="AA1" s="692" t="s">
        <v>815</v>
      </c>
      <c r="AB1" s="692" t="s">
        <v>20</v>
      </c>
      <c r="AC1" s="692" t="s">
        <v>21</v>
      </c>
      <c r="AD1" s="692" t="s">
        <v>22</v>
      </c>
      <c r="AE1" s="26"/>
      <c r="AF1" s="26" t="s">
        <v>178</v>
      </c>
      <c r="AH1" s="1" t="s">
        <v>329</v>
      </c>
      <c r="AI1" s="691" t="str">
        <f>W1</f>
        <v>Early Measures Fund</v>
      </c>
      <c r="AJ1" s="691" t="str">
        <f t="shared" ref="AJ1:AP1" si="0">X1</f>
        <v>OLEV Funding</v>
      </c>
      <c r="AK1" s="691" t="str">
        <f t="shared" si="0"/>
        <v>Implementation Fund</v>
      </c>
      <c r="AL1" s="691" t="str">
        <f t="shared" si="0"/>
        <v>Clean Air Fund</v>
      </c>
      <c r="AM1" s="691" t="str">
        <f t="shared" si="0"/>
        <v>Other Government Funding</v>
      </c>
      <c r="AN1" s="691" t="str">
        <f t="shared" si="0"/>
        <v>Council Funded</v>
      </c>
      <c r="AO1" s="691" t="str">
        <f t="shared" si="0"/>
        <v>Private Sector Funded</v>
      </c>
      <c r="AP1" s="691" t="str">
        <f t="shared" si="0"/>
        <v>General Public Funded</v>
      </c>
      <c r="AR1" s="42" t="s">
        <v>178</v>
      </c>
      <c r="AT1" s="42"/>
      <c r="AU1" s="1" t="s">
        <v>330</v>
      </c>
      <c r="AV1" s="691" t="str">
        <f>AI1</f>
        <v>Early Measures Fund</v>
      </c>
      <c r="AW1" s="691" t="str">
        <f t="shared" ref="AW1:BC1" si="1">AJ1</f>
        <v>OLEV Funding</v>
      </c>
      <c r="AX1" s="691" t="str">
        <f t="shared" si="1"/>
        <v>Implementation Fund</v>
      </c>
      <c r="AY1" s="691" t="str">
        <f t="shared" si="1"/>
        <v>Clean Air Fund</v>
      </c>
      <c r="AZ1" s="691" t="str">
        <f t="shared" si="1"/>
        <v>Other Government Funding</v>
      </c>
      <c r="BA1" s="691" t="str">
        <f t="shared" si="1"/>
        <v>Council Funded</v>
      </c>
      <c r="BB1" s="691" t="str">
        <f t="shared" si="1"/>
        <v>Private Sector Funded</v>
      </c>
      <c r="BC1" s="691" t="str">
        <f t="shared" si="1"/>
        <v>General Public Funded</v>
      </c>
      <c r="BE1" s="42" t="s">
        <v>178</v>
      </c>
    </row>
    <row r="2" spans="1:71" x14ac:dyDescent="0.25">
      <c r="J2" s="78">
        <f>SUM(J6:J146)/INP_Assumptions!$C$19</f>
        <v>50.321464319999997</v>
      </c>
      <c r="L2" t="s">
        <v>52</v>
      </c>
      <c r="S2" s="78">
        <f>SUM(S6:S146)/INP_Assumptions!$C$19</f>
        <v>52.601656631643841</v>
      </c>
      <c r="T2" s="305">
        <f>S2-OUT_Cost_Summary!P3</f>
        <v>0</v>
      </c>
      <c r="V2" t="s">
        <v>329</v>
      </c>
      <c r="W2" s="79">
        <f>SUMPRODUCT($S$6:$S$146,W6:W146)/INP_Assumptions!$C$19</f>
        <v>1.9520999999999999</v>
      </c>
      <c r="X2" s="79">
        <f>SUMPRODUCT($S$6:$S$146,X6:X146)/INP_Assumptions!$C$19</f>
        <v>1.9125000000000001</v>
      </c>
      <c r="Y2" s="79">
        <f>SUMPRODUCT($S$6:$S$146,Y6:Y146)/INP_Assumptions!$C$19</f>
        <v>28.148914320000003</v>
      </c>
      <c r="Z2" s="79">
        <f>SUMPRODUCT($S$6:$S$146,Z6:Z146)/INP_Assumptions!$C$19</f>
        <v>15.045450000000001</v>
      </c>
      <c r="AA2" s="79">
        <f>SUMPRODUCT($S$6:$S$146,AA6:AA146)/INP_Assumptions!$C$19</f>
        <v>3</v>
      </c>
      <c r="AB2" s="79">
        <f>SUMPRODUCT($S$6:$S$146,AB6:AB146)/INP_Assumptions!$C$19</f>
        <v>0.26250000000000001</v>
      </c>
      <c r="AC2" s="79">
        <f>SUMPRODUCT($S$6:$S$146,AC6:AC146)/INP_Assumptions!$C$19</f>
        <v>2.280192311643837</v>
      </c>
      <c r="AD2" s="79">
        <f>SUMPRODUCT($S$6:$S$146,AD6:AD146)/INP_Assumptions!$C$19</f>
        <v>0</v>
      </c>
      <c r="AE2" s="98"/>
      <c r="AF2" s="98">
        <f>SUM(W2:AD2)</f>
        <v>52.601656631643849</v>
      </c>
      <c r="AI2" s="78">
        <f>SUM(AI6:AI146)/INP_Assumptions!$C$19</f>
        <v>1.9520999999999999</v>
      </c>
      <c r="AJ2" s="78">
        <f>SUM(AJ6:AJ146)/INP_Assumptions!$C$19</f>
        <v>1.9125000000000001</v>
      </c>
      <c r="AK2" s="78">
        <f>SUM(AK6:AK146)/INP_Assumptions!$C$19</f>
        <v>28.148914320000003</v>
      </c>
      <c r="AL2" s="78">
        <f>SUM(AL6:AL146)/INP_Assumptions!$C$19</f>
        <v>15.045450000000001</v>
      </c>
      <c r="AM2" s="78">
        <f>SUM(AM6:AM146)/INP_Assumptions!$C$19</f>
        <v>3</v>
      </c>
      <c r="AN2" s="78">
        <f>SUM(AN6:AN146)/INP_Assumptions!$C$19</f>
        <v>0.26250000000000001</v>
      </c>
      <c r="AO2" s="78">
        <f>SUM(AO6:AO146)/INP_Assumptions!$C$19</f>
        <v>2.280192311643837</v>
      </c>
      <c r="AP2" s="78">
        <f>SUM(AP6:AP146)/INP_Assumptions!$C$19</f>
        <v>0</v>
      </c>
      <c r="AR2" s="94">
        <f>SUM(AI2:AP2)</f>
        <v>52.601656631643849</v>
      </c>
      <c r="AT2" s="94"/>
    </row>
    <row r="3" spans="1:71" x14ac:dyDescent="0.25">
      <c r="A3" s="45"/>
      <c r="F3" s="1" t="s">
        <v>307</v>
      </c>
      <c r="L3" s="55">
        <f>(1-INP_Assumptions!$C$8)^(L5-$L$5)</f>
        <v>1</v>
      </c>
      <c r="M3" s="55">
        <f>(1-INP_Assumptions!$C$8)^(M5-$L$5)</f>
        <v>0.96499999999999997</v>
      </c>
      <c r="N3" s="55">
        <f>(1-INP_Assumptions!$C$8)^(N5-$L$5)</f>
        <v>0.93122499999999997</v>
      </c>
      <c r="O3" s="55">
        <f>(1-INP_Assumptions!$C$8)^(O5-$L$5)</f>
        <v>0.89863212499999989</v>
      </c>
      <c r="P3" s="55">
        <f>(1-INP_Assumptions!$C$8)^(P5-$L$5)</f>
        <v>0.86718000062499989</v>
      </c>
      <c r="Q3" s="55">
        <f>(1-INP_Assumptions!$C$8)^(Q5-$L$5)</f>
        <v>0.83682870060312486</v>
      </c>
      <c r="R3" s="43">
        <f>(1-INP_Assumptions!$C$8)^(2025-$L$5)</f>
        <v>0.80753969608201548</v>
      </c>
      <c r="S3" s="43"/>
      <c r="T3" s="78">
        <f>SUM(T6:T146)/INP_Assumptions!$C$19</f>
        <v>67.536190096720645</v>
      </c>
      <c r="U3" s="78"/>
      <c r="V3" t="s">
        <v>330</v>
      </c>
      <c r="W3" s="79">
        <f>SUMPRODUCT($T$6:$T$146,W6:W146)/INP_Assumptions!$C$19</f>
        <v>1.9520999999999999</v>
      </c>
      <c r="X3" s="79">
        <f>SUMPRODUCT($T$6:$T$146,X6:X146)/INP_Assumptions!$C$19</f>
        <v>1.8126502499999999</v>
      </c>
      <c r="Y3" s="79">
        <f>SUMPRODUCT($T$6:$T$146,Y6:Y146)/INP_Assumptions!$C$19</f>
        <v>26.346161057137628</v>
      </c>
      <c r="Z3" s="79">
        <f>SUMPRODUCT($T$6:$T$146,Z6:Z146)/INP_Assumptions!$C$19</f>
        <v>13.926234059568612</v>
      </c>
      <c r="AA3" s="79">
        <f>SUMPRODUCT($T$6:$T$146,AA6:AA146)/INP_Assumptions!$C$19</f>
        <v>3</v>
      </c>
      <c r="AB3" s="79">
        <f>SUMPRODUCT($T$6:$T$146,AB6:AB146)/INP_Assumptions!$C$19</f>
        <v>0.2533125</v>
      </c>
      <c r="AC3" s="79">
        <f>SUMPRODUCT($T$6:$T$146,AC6:AC146)/INP_Assumptions!$C$19</f>
        <v>20.245732230014415</v>
      </c>
      <c r="AD3" s="79">
        <f>SUMPRODUCT($T$6:$T$146,AD6:AD146)/INP_Assumptions!$C$19</f>
        <v>0</v>
      </c>
      <c r="AE3" s="98"/>
      <c r="AF3" s="98">
        <f>SUM(W3:AD3)</f>
        <v>67.536190096720659</v>
      </c>
      <c r="AV3" s="97">
        <f>SUM(AV6:AV146)/INP_Assumptions!$C$19</f>
        <v>1.9520999999999999</v>
      </c>
      <c r="AW3" s="97">
        <f>SUM(AW6:AW146)/INP_Assumptions!$C$19</f>
        <v>1.8126502499999999</v>
      </c>
      <c r="AX3" s="97">
        <f>SUM(AX6:AX146)/INP_Assumptions!$C$19</f>
        <v>26.346161057137628</v>
      </c>
      <c r="AY3" s="97">
        <f>SUM(AY6:AY146)/INP_Assumptions!$C$19</f>
        <v>13.926234059568612</v>
      </c>
      <c r="AZ3" s="97">
        <f>SUM(AZ6:AZ146)/INP_Assumptions!$C$19</f>
        <v>3</v>
      </c>
      <c r="BA3" s="97">
        <f>SUM(BA6:BA146)/INP_Assumptions!$C$19</f>
        <v>0.2533125</v>
      </c>
      <c r="BB3" s="97">
        <f>SUM(BB6:BB146)/INP_Assumptions!$C$19</f>
        <v>20.245732230014415</v>
      </c>
      <c r="BC3" s="97">
        <f>SUM(BC6:BC146)/INP_Assumptions!$C$19</f>
        <v>0</v>
      </c>
      <c r="BE3" s="97">
        <f>SUM(BE6:BE145)/INP_Assumptions!$C$19</f>
        <v>67.863728197451522</v>
      </c>
    </row>
    <row r="4" spans="1:71" x14ac:dyDescent="0.25">
      <c r="A4" s="45"/>
      <c r="K4" s="56" t="s">
        <v>459</v>
      </c>
      <c r="L4" s="78">
        <f>IF(MOD(L5,4)=0,366,365)/365</f>
        <v>1</v>
      </c>
      <c r="M4" s="78">
        <f t="shared" ref="M4:Q4" si="2">IF(MOD(M5,4)=0,366,365)/365</f>
        <v>1.0027397260273974</v>
      </c>
      <c r="N4" s="78">
        <f t="shared" si="2"/>
        <v>1</v>
      </c>
      <c r="O4" s="78">
        <f t="shared" si="2"/>
        <v>1</v>
      </c>
      <c r="P4" s="78">
        <f t="shared" si="2"/>
        <v>1</v>
      </c>
      <c r="Q4" s="78">
        <f t="shared" si="2"/>
        <v>1.0027397260273974</v>
      </c>
      <c r="R4" s="286">
        <f>IF(MOD(2025,4)=0,366,365)/365</f>
        <v>1</v>
      </c>
      <c r="S4" s="43"/>
      <c r="T4" s="78"/>
      <c r="U4" s="78"/>
      <c r="W4" s="79"/>
      <c r="X4" s="79"/>
      <c r="Y4" s="79"/>
      <c r="Z4" s="79"/>
      <c r="AA4" s="79"/>
      <c r="AB4" s="79"/>
      <c r="AC4" s="79"/>
      <c r="AD4" s="79"/>
      <c r="AE4" s="98"/>
      <c r="AF4" s="98"/>
      <c r="AV4" s="97"/>
      <c r="AW4" s="97"/>
      <c r="AX4" s="97"/>
      <c r="AY4" s="97"/>
      <c r="AZ4" s="97"/>
      <c r="BA4" s="97"/>
      <c r="BB4" s="97"/>
      <c r="BC4" s="97"/>
      <c r="BE4" s="97"/>
      <c r="BJ4" t="s">
        <v>763</v>
      </c>
    </row>
    <row r="5" spans="1:71" s="1" customFormat="1" ht="45.75" customHeight="1" thickBot="1" x14ac:dyDescent="0.3">
      <c r="B5" s="46" t="s">
        <v>158</v>
      </c>
      <c r="C5" s="1" t="s">
        <v>33</v>
      </c>
      <c r="D5" s="1" t="s">
        <v>36</v>
      </c>
      <c r="E5" s="1" t="str">
        <f>CONCATENATE(B5,"_",C5,"_",D5)</f>
        <v>Category/Mode_Component_Local Authority</v>
      </c>
      <c r="F5" s="1" t="str">
        <f>CONCATENATE(B5,"_",D5)</f>
        <v>Category/Mode_Local Authority</v>
      </c>
      <c r="G5" s="1" t="s">
        <v>527</v>
      </c>
      <c r="H5" s="331" t="str">
        <f>CONCATENATE(B5,"_",D5,"_",G5)</f>
        <v>Category/Mode_Local Authority_Capex/Opex</v>
      </c>
      <c r="I5" s="331"/>
      <c r="J5" s="522" t="s">
        <v>759</v>
      </c>
      <c r="L5" s="1">
        <v>2019</v>
      </c>
      <c r="M5" s="1">
        <v>2020</v>
      </c>
      <c r="N5" s="1">
        <v>2021</v>
      </c>
      <c r="O5" s="1">
        <v>2022</v>
      </c>
      <c r="P5" s="1">
        <v>2023</v>
      </c>
      <c r="Q5" s="1">
        <v>2024</v>
      </c>
      <c r="R5" s="1" t="s">
        <v>186</v>
      </c>
      <c r="S5" s="1" t="s">
        <v>326</v>
      </c>
      <c r="T5" s="1" t="s">
        <v>327</v>
      </c>
      <c r="AE5" s="26"/>
      <c r="AF5" s="26"/>
      <c r="AH5" s="900" t="s">
        <v>807</v>
      </c>
      <c r="AI5" s="900"/>
      <c r="AJ5" s="900"/>
      <c r="AK5" s="900"/>
      <c r="AL5" s="900"/>
      <c r="AM5" s="900"/>
      <c r="AN5" s="900"/>
      <c r="AO5" s="900"/>
      <c r="AP5" s="900"/>
      <c r="AR5" s="95">
        <f>SUM(AR6:AR144)/INP_Assumptions!$C$19</f>
        <v>54.207256631643837</v>
      </c>
      <c r="AT5" s="95"/>
      <c r="BG5" s="1" t="s">
        <v>525</v>
      </c>
      <c r="BJ5" s="1">
        <f>L5</f>
        <v>2019</v>
      </c>
      <c r="BK5" s="1">
        <f t="shared" ref="BK5:BP5" si="3">M5</f>
        <v>2020</v>
      </c>
      <c r="BL5" s="1">
        <f t="shared" si="3"/>
        <v>2021</v>
      </c>
      <c r="BM5" s="1">
        <f t="shared" si="3"/>
        <v>2022</v>
      </c>
      <c r="BN5" s="1">
        <f t="shared" si="3"/>
        <v>2023</v>
      </c>
      <c r="BO5" s="1">
        <f t="shared" si="3"/>
        <v>2024</v>
      </c>
      <c r="BP5" s="1" t="str">
        <f t="shared" si="3"/>
        <v>2025 &amp; beyond</v>
      </c>
      <c r="BR5" s="26"/>
      <c r="BS5" s="26"/>
    </row>
    <row r="6" spans="1:71" ht="15" customHeight="1" x14ac:dyDescent="0.25">
      <c r="A6" s="116">
        <v>1</v>
      </c>
      <c r="B6" s="65" t="s">
        <v>0</v>
      </c>
      <c r="C6" s="117" t="s">
        <v>53</v>
      </c>
      <c r="D6" s="117" t="s">
        <v>37</v>
      </c>
      <c r="E6" s="117" t="str">
        <f>CONCATENATE(B6,"_",C6,"_",D6)</f>
        <v>CAZ_Camera Installation_SCC</v>
      </c>
      <c r="F6" s="117" t="str">
        <f t="shared" ref="F6:F84" si="4">CONCATENATE(B6,"_",D6)</f>
        <v>CAZ_SCC</v>
      </c>
      <c r="G6" s="329" t="s">
        <v>523</v>
      </c>
      <c r="H6" s="331" t="str">
        <f t="shared" ref="H6:H69" si="5">CONCATENATE(B6,"_",D6,"_",G6)</f>
        <v>CAZ_SCC_capex</v>
      </c>
      <c r="I6" s="331">
        <v>1</v>
      </c>
      <c r="J6" s="4">
        <f t="shared" ref="J6:J28" si="6">SUM(AI6:AP6)-AO6-AP6</f>
        <v>2160000</v>
      </c>
      <c r="K6" s="117"/>
      <c r="L6" s="24"/>
      <c r="M6" s="118">
        <f>CALC_Current_option!C20 +CALC_Current_option!$C$23</f>
        <v>2160000</v>
      </c>
      <c r="N6" s="24"/>
      <c r="O6" s="24"/>
      <c r="P6" s="24"/>
      <c r="Q6" s="24"/>
      <c r="R6" s="24"/>
      <c r="S6" s="24">
        <f>SUM(L6:R6)</f>
        <v>2160000</v>
      </c>
      <c r="T6" s="25">
        <f>SUMPRODUCT(L6:R6,$L$3:$R$3)</f>
        <v>2084400</v>
      </c>
      <c r="U6" s="62"/>
      <c r="W6" s="10"/>
      <c r="X6" s="11"/>
      <c r="Y6" s="651">
        <v>1</v>
      </c>
      <c r="Z6" s="11"/>
      <c r="AA6" s="11"/>
      <c r="AB6" s="11"/>
      <c r="AC6" s="11"/>
      <c r="AD6" s="12"/>
      <c r="AE6" s="32"/>
      <c r="AF6" s="32"/>
      <c r="AH6" s="284">
        <f>I6</f>
        <v>1</v>
      </c>
      <c r="AI6" s="87">
        <f t="shared" ref="AI6:AP14" si="7">$S6*W6</f>
        <v>0</v>
      </c>
      <c r="AJ6" s="88">
        <f t="shared" si="7"/>
        <v>0</v>
      </c>
      <c r="AK6" s="88">
        <f t="shared" si="7"/>
        <v>2160000</v>
      </c>
      <c r="AL6" s="88">
        <f t="shared" si="7"/>
        <v>0</v>
      </c>
      <c r="AM6" s="88">
        <f t="shared" si="7"/>
        <v>0</v>
      </c>
      <c r="AN6" s="88">
        <f t="shared" si="7"/>
        <v>0</v>
      </c>
      <c r="AO6" s="88">
        <f t="shared" si="7"/>
        <v>0</v>
      </c>
      <c r="AP6" s="89">
        <f t="shared" si="7"/>
        <v>0</v>
      </c>
      <c r="AQ6" s="770"/>
      <c r="AR6" s="4">
        <f>SUM(AI6:AP6)</f>
        <v>2160000</v>
      </c>
      <c r="AT6" s="4"/>
      <c r="AV6" s="129">
        <f>$T6*W6</f>
        <v>0</v>
      </c>
      <c r="AW6" s="130">
        <f t="shared" ref="AW6:AW78" si="8">$T6*X6</f>
        <v>0</v>
      </c>
      <c r="AX6" s="130">
        <f t="shared" ref="AX6:AX78" si="9">$T6*Y6</f>
        <v>2084400</v>
      </c>
      <c r="AY6" s="130">
        <f t="shared" ref="AY6:AY78" si="10">$T6*Z6</f>
        <v>0</v>
      </c>
      <c r="AZ6" s="130">
        <f t="shared" ref="AZ6:AZ78" si="11">$T6*AA6</f>
        <v>0</v>
      </c>
      <c r="BA6" s="130">
        <f t="shared" ref="BA6:BA78" si="12">$T6*AB6</f>
        <v>0</v>
      </c>
      <c r="BB6" s="130">
        <f t="shared" ref="BB6:BB78" si="13">$T6*AC6</f>
        <v>0</v>
      </c>
      <c r="BC6" s="688">
        <f t="shared" ref="BC6:BC78" si="14">$T6*AD6</f>
        <v>0</v>
      </c>
      <c r="BE6" s="96">
        <f t="shared" ref="BE6:BE41" si="15">SUM(AV6:BC6)</f>
        <v>2084400</v>
      </c>
      <c r="BG6" t="str">
        <f t="shared" ref="BG6:BG14" si="16">E6</f>
        <v>CAZ_Camera Installation_SCC</v>
      </c>
      <c r="BJ6" s="133">
        <f>IF($G6="Ignore",0,$AC6*L6)</f>
        <v>0</v>
      </c>
      <c r="BK6" s="133">
        <f t="shared" ref="BK6:BK69" si="17">IF($G6="Ignore",0,$AC6*M6)</f>
        <v>0</v>
      </c>
      <c r="BL6" s="133">
        <f t="shared" ref="BL6:BL69" si="18">IF($G6="Ignore",0,$AC6*N6)</f>
        <v>0</v>
      </c>
      <c r="BM6" s="133">
        <f t="shared" ref="BM6:BM69" si="19">IF($G6="Ignore",0,$AC6*O6)</f>
        <v>0</v>
      </c>
      <c r="BN6" s="133">
        <f t="shared" ref="BN6:BN69" si="20">IF($G6="Ignore",0,$AC6*P6)</f>
        <v>0</v>
      </c>
      <c r="BO6" s="133">
        <f t="shared" ref="BO6:BO69" si="21">IF($G6="Ignore",0,$AC6*Q6)</f>
        <v>0</v>
      </c>
      <c r="BP6" s="133">
        <f t="shared" ref="BP6:BP69" si="22">IF($G6="Ignore",0,$AC6*R6)</f>
        <v>0</v>
      </c>
      <c r="BR6" s="815"/>
    </row>
    <row r="7" spans="1:71" ht="35.25" customHeight="1" x14ac:dyDescent="0.25">
      <c r="A7" s="64">
        <v>2</v>
      </c>
      <c r="B7" s="60" t="s">
        <v>0</v>
      </c>
      <c r="C7" s="27" t="s">
        <v>260</v>
      </c>
      <c r="D7" s="27" t="s">
        <v>37</v>
      </c>
      <c r="E7" s="27" t="str">
        <f>CONCATENATE(B7,"_",C7,"_",D7)</f>
        <v>CAZ_Operating 'Camera Vans'_SCC</v>
      </c>
      <c r="F7" s="27" t="str">
        <f t="shared" si="4"/>
        <v>CAZ_SCC</v>
      </c>
      <c r="G7" s="37" t="s">
        <v>524</v>
      </c>
      <c r="H7" s="331" t="str">
        <f t="shared" si="5"/>
        <v>CAZ_SCC_opex</v>
      </c>
      <c r="I7" s="331">
        <v>2</v>
      </c>
      <c r="J7" s="4">
        <f t="shared" si="6"/>
        <v>0</v>
      </c>
      <c r="K7" s="27"/>
      <c r="L7" s="62"/>
      <c r="M7" s="119"/>
      <c r="N7" s="62">
        <f>CALC_Current_option!$C$24</f>
        <v>0</v>
      </c>
      <c r="O7" s="62">
        <f>CALC_Current_option!$C$24</f>
        <v>0</v>
      </c>
      <c r="P7" s="62">
        <f>CALC_Current_option!$C$24</f>
        <v>0</v>
      </c>
      <c r="Q7" s="62">
        <f>CALC_Current_option!$C$24</f>
        <v>0</v>
      </c>
      <c r="R7" s="62"/>
      <c r="S7" s="62">
        <f t="shared" ref="S7" si="23">SUM(L7:R7)</f>
        <v>0</v>
      </c>
      <c r="T7" s="67">
        <f t="shared" ref="T7" si="24">SUMPRODUCT(L7:R7,$L$3:$R$3)</f>
        <v>0</v>
      </c>
      <c r="U7" s="62"/>
      <c r="W7" s="70"/>
      <c r="X7" s="71"/>
      <c r="Y7" s="652">
        <v>1</v>
      </c>
      <c r="Z7" s="71"/>
      <c r="AA7" s="71"/>
      <c r="AB7" s="71"/>
      <c r="AC7" s="71"/>
      <c r="AD7" s="72"/>
      <c r="AE7" s="32"/>
      <c r="AF7" s="32"/>
      <c r="AH7" s="284">
        <f t="shared" ref="AH7:AH71" si="25">I7</f>
        <v>2</v>
      </c>
      <c r="AI7" s="90">
        <f t="shared" si="7"/>
        <v>0</v>
      </c>
      <c r="AJ7" s="91">
        <f t="shared" si="7"/>
        <v>0</v>
      </c>
      <c r="AK7" s="91">
        <f t="shared" si="7"/>
        <v>0</v>
      </c>
      <c r="AL7" s="91">
        <f t="shared" si="7"/>
        <v>0</v>
      </c>
      <c r="AM7" s="91">
        <f t="shared" si="7"/>
        <v>0</v>
      </c>
      <c r="AN7" s="91">
        <f t="shared" si="7"/>
        <v>0</v>
      </c>
      <c r="AO7" s="91">
        <f t="shared" si="7"/>
        <v>0</v>
      </c>
      <c r="AP7" s="50">
        <f t="shared" si="7"/>
        <v>0</v>
      </c>
      <c r="AQ7" s="770"/>
      <c r="AR7" s="4">
        <f t="shared" ref="AR7:AR78" si="26">SUM(AI7:AP7)</f>
        <v>0</v>
      </c>
      <c r="AT7" s="4"/>
      <c r="AV7" s="131">
        <f t="shared" ref="AV7:AV78" si="27">$T7*W7</f>
        <v>0</v>
      </c>
      <c r="AW7" s="100">
        <f t="shared" si="8"/>
        <v>0</v>
      </c>
      <c r="AX7" s="100">
        <f t="shared" si="9"/>
        <v>0</v>
      </c>
      <c r="AY7" s="100">
        <f t="shared" si="10"/>
        <v>0</v>
      </c>
      <c r="AZ7" s="100">
        <f t="shared" si="11"/>
        <v>0</v>
      </c>
      <c r="BA7" s="100">
        <f t="shared" si="12"/>
        <v>0</v>
      </c>
      <c r="BB7" s="100">
        <f t="shared" si="13"/>
        <v>0</v>
      </c>
      <c r="BC7" s="689">
        <f t="shared" si="14"/>
        <v>0</v>
      </c>
      <c r="BE7" s="96">
        <f t="shared" si="15"/>
        <v>0</v>
      </c>
      <c r="BG7" t="str">
        <f t="shared" si="16"/>
        <v>CAZ_Operating 'Camera Vans'_SCC</v>
      </c>
      <c r="BJ7" s="133">
        <f t="shared" ref="BJ7:BJ69" si="28">IF($G7="Ignore",0,$AC7*L7)</f>
        <v>0</v>
      </c>
      <c r="BK7" s="133">
        <f t="shared" si="17"/>
        <v>0</v>
      </c>
      <c r="BL7" s="133">
        <f t="shared" si="18"/>
        <v>0</v>
      </c>
      <c r="BM7" s="133">
        <f t="shared" si="19"/>
        <v>0</v>
      </c>
      <c r="BN7" s="133">
        <f t="shared" si="20"/>
        <v>0</v>
      </c>
      <c r="BO7" s="133">
        <f t="shared" si="21"/>
        <v>0</v>
      </c>
      <c r="BP7" s="133">
        <f t="shared" si="22"/>
        <v>0</v>
      </c>
      <c r="BR7" s="815"/>
    </row>
    <row r="8" spans="1:71" ht="15" customHeight="1" x14ac:dyDescent="0.25">
      <c r="A8" s="64">
        <v>3</v>
      </c>
      <c r="B8" s="60" t="s">
        <v>0</v>
      </c>
      <c r="C8" s="27" t="s">
        <v>54</v>
      </c>
      <c r="D8" s="27" t="s">
        <v>37</v>
      </c>
      <c r="E8" s="27" t="str">
        <f>CONCATENATE(B8,"_",C8,"_",D8)</f>
        <v>CAZ_Camera Maintenance_SCC</v>
      </c>
      <c r="F8" s="27" t="str">
        <f t="shared" si="4"/>
        <v>CAZ_SCC</v>
      </c>
      <c r="G8" s="37" t="s">
        <v>524</v>
      </c>
      <c r="H8" s="331" t="str">
        <f t="shared" si="5"/>
        <v>CAZ_SCC_opex</v>
      </c>
      <c r="I8" s="331">
        <v>3</v>
      </c>
      <c r="J8" s="4">
        <f t="shared" si="6"/>
        <v>864000</v>
      </c>
      <c r="K8" s="27"/>
      <c r="L8" s="62"/>
      <c r="M8" s="62"/>
      <c r="N8" s="62">
        <f>CALC_Current_option!$C$26</f>
        <v>216000</v>
      </c>
      <c r="O8" s="62">
        <f>CALC_Current_option!$C$26</f>
        <v>216000</v>
      </c>
      <c r="P8" s="62">
        <f>CALC_Current_option!$C$26</f>
        <v>216000</v>
      </c>
      <c r="Q8" s="62">
        <f>CALC_Current_option!$C$26</f>
        <v>216000</v>
      </c>
      <c r="R8" s="62"/>
      <c r="S8" s="62">
        <f t="shared" ref="S8:S90" si="29">SUM(L8:R8)</f>
        <v>864000</v>
      </c>
      <c r="T8" s="67">
        <f t="shared" ref="T8:T14" si="30">SUMPRODUCT(L8:R8,$L$3:$R$3)</f>
        <v>763315.01846527494</v>
      </c>
      <c r="U8" s="62"/>
      <c r="W8" s="13"/>
      <c r="X8" s="14"/>
      <c r="Y8" s="653">
        <v>1</v>
      </c>
      <c r="Z8" s="14"/>
      <c r="AA8" s="14"/>
      <c r="AB8" s="14"/>
      <c r="AC8" s="14"/>
      <c r="AD8" s="15"/>
      <c r="AE8" s="32"/>
      <c r="AF8" s="32"/>
      <c r="AH8" s="284">
        <f t="shared" si="25"/>
        <v>3</v>
      </c>
      <c r="AI8" s="90">
        <f t="shared" si="7"/>
        <v>0</v>
      </c>
      <c r="AJ8" s="91">
        <f t="shared" si="7"/>
        <v>0</v>
      </c>
      <c r="AK8" s="91">
        <f t="shared" si="7"/>
        <v>864000</v>
      </c>
      <c r="AL8" s="91">
        <f t="shared" si="7"/>
        <v>0</v>
      </c>
      <c r="AM8" s="91">
        <f t="shared" si="7"/>
        <v>0</v>
      </c>
      <c r="AN8" s="91">
        <f t="shared" si="7"/>
        <v>0</v>
      </c>
      <c r="AO8" s="91">
        <f t="shared" si="7"/>
        <v>0</v>
      </c>
      <c r="AP8" s="50">
        <f t="shared" si="7"/>
        <v>0</v>
      </c>
      <c r="AQ8" s="770"/>
      <c r="AR8" s="4">
        <f t="shared" si="26"/>
        <v>864000</v>
      </c>
      <c r="AT8" s="4"/>
      <c r="AV8" s="131">
        <f t="shared" si="27"/>
        <v>0</v>
      </c>
      <c r="AW8" s="100">
        <f t="shared" si="8"/>
        <v>0</v>
      </c>
      <c r="AX8" s="100">
        <f t="shared" si="9"/>
        <v>763315.01846527494</v>
      </c>
      <c r="AY8" s="100">
        <f t="shared" si="10"/>
        <v>0</v>
      </c>
      <c r="AZ8" s="100">
        <f t="shared" si="11"/>
        <v>0</v>
      </c>
      <c r="BA8" s="100">
        <f t="shared" si="12"/>
        <v>0</v>
      </c>
      <c r="BB8" s="100">
        <f t="shared" si="13"/>
        <v>0</v>
      </c>
      <c r="BC8" s="689">
        <f t="shared" si="14"/>
        <v>0</v>
      </c>
      <c r="BE8" s="96">
        <f t="shared" si="15"/>
        <v>763315.01846527494</v>
      </c>
      <c r="BG8" t="str">
        <f t="shared" si="16"/>
        <v>CAZ_Camera Maintenance_SCC</v>
      </c>
      <c r="BJ8" s="133">
        <f t="shared" si="28"/>
        <v>0</v>
      </c>
      <c r="BK8" s="133">
        <f t="shared" si="17"/>
        <v>0</v>
      </c>
      <c r="BL8" s="133">
        <f t="shared" si="18"/>
        <v>0</v>
      </c>
      <c r="BM8" s="133">
        <f t="shared" si="19"/>
        <v>0</v>
      </c>
      <c r="BN8" s="133">
        <f t="shared" si="20"/>
        <v>0</v>
      </c>
      <c r="BO8" s="133">
        <f t="shared" si="21"/>
        <v>0</v>
      </c>
      <c r="BP8" s="133">
        <f t="shared" si="22"/>
        <v>0</v>
      </c>
      <c r="BR8" s="815"/>
    </row>
    <row r="9" spans="1:71" ht="15" customHeight="1" x14ac:dyDescent="0.25">
      <c r="A9" s="64">
        <v>4</v>
      </c>
      <c r="B9" s="60" t="s">
        <v>0</v>
      </c>
      <c r="C9" s="27" t="s">
        <v>1</v>
      </c>
      <c r="D9" s="27" t="s">
        <v>37</v>
      </c>
      <c r="E9" s="27" t="str">
        <f t="shared" ref="E9:E138" si="31">CONCATENATE(B9,"_",C9,"_",D9)</f>
        <v>CAZ_Signing_SCC</v>
      </c>
      <c r="F9" s="27" t="str">
        <f t="shared" si="4"/>
        <v>CAZ_SCC</v>
      </c>
      <c r="G9" s="37" t="s">
        <v>523</v>
      </c>
      <c r="H9" s="331" t="str">
        <f t="shared" si="5"/>
        <v>CAZ_SCC_capex</v>
      </c>
      <c r="I9" s="331">
        <v>4</v>
      </c>
      <c r="J9" s="4">
        <f t="shared" si="6"/>
        <v>408000</v>
      </c>
      <c r="K9" s="27"/>
      <c r="L9" s="62"/>
      <c r="M9" s="62">
        <f>CALC_Current_option!C35</f>
        <v>408000</v>
      </c>
      <c r="N9" s="62"/>
      <c r="O9" s="62"/>
      <c r="P9" s="62"/>
      <c r="Q9" s="62"/>
      <c r="R9" s="62"/>
      <c r="S9" s="62">
        <f t="shared" si="29"/>
        <v>408000</v>
      </c>
      <c r="T9" s="67">
        <f t="shared" si="30"/>
        <v>393720</v>
      </c>
      <c r="U9" s="62"/>
      <c r="W9" s="13"/>
      <c r="X9" s="14"/>
      <c r="Y9" s="653">
        <v>1</v>
      </c>
      <c r="Z9" s="14"/>
      <c r="AA9" s="14"/>
      <c r="AB9" s="14"/>
      <c r="AC9" s="14"/>
      <c r="AD9" s="15"/>
      <c r="AE9" s="32"/>
      <c r="AF9" s="32"/>
      <c r="AH9" s="284">
        <f t="shared" si="25"/>
        <v>4</v>
      </c>
      <c r="AI9" s="90">
        <f t="shared" si="7"/>
        <v>0</v>
      </c>
      <c r="AJ9" s="91">
        <f t="shared" si="7"/>
        <v>0</v>
      </c>
      <c r="AK9" s="91">
        <f t="shared" si="7"/>
        <v>408000</v>
      </c>
      <c r="AL9" s="91">
        <f t="shared" si="7"/>
        <v>0</v>
      </c>
      <c r="AM9" s="91">
        <f t="shared" si="7"/>
        <v>0</v>
      </c>
      <c r="AN9" s="91">
        <f t="shared" si="7"/>
        <v>0</v>
      </c>
      <c r="AO9" s="91">
        <f t="shared" si="7"/>
        <v>0</v>
      </c>
      <c r="AP9" s="50">
        <f t="shared" si="7"/>
        <v>0</v>
      </c>
      <c r="AQ9" s="770"/>
      <c r="AR9" s="4">
        <f t="shared" si="26"/>
        <v>408000</v>
      </c>
      <c r="AT9" s="4"/>
      <c r="AV9" s="131">
        <f t="shared" si="27"/>
        <v>0</v>
      </c>
      <c r="AW9" s="100">
        <f t="shared" si="8"/>
        <v>0</v>
      </c>
      <c r="AX9" s="100">
        <f t="shared" si="9"/>
        <v>393720</v>
      </c>
      <c r="AY9" s="100">
        <f t="shared" si="10"/>
        <v>0</v>
      </c>
      <c r="AZ9" s="100">
        <f t="shared" si="11"/>
        <v>0</v>
      </c>
      <c r="BA9" s="100">
        <f t="shared" si="12"/>
        <v>0</v>
      </c>
      <c r="BB9" s="100">
        <f t="shared" si="13"/>
        <v>0</v>
      </c>
      <c r="BC9" s="689">
        <f t="shared" si="14"/>
        <v>0</v>
      </c>
      <c r="BE9" s="96">
        <f t="shared" si="15"/>
        <v>393720</v>
      </c>
      <c r="BG9" t="str">
        <f t="shared" si="16"/>
        <v>CAZ_Signing_SCC</v>
      </c>
      <c r="BJ9" s="133">
        <f t="shared" si="28"/>
        <v>0</v>
      </c>
      <c r="BK9" s="133">
        <f t="shared" si="17"/>
        <v>0</v>
      </c>
      <c r="BL9" s="133">
        <f t="shared" si="18"/>
        <v>0</v>
      </c>
      <c r="BM9" s="133">
        <f t="shared" si="19"/>
        <v>0</v>
      </c>
      <c r="BN9" s="133">
        <f t="shared" si="20"/>
        <v>0</v>
      </c>
      <c r="BO9" s="133">
        <f t="shared" si="21"/>
        <v>0</v>
      </c>
      <c r="BP9" s="133">
        <f t="shared" si="22"/>
        <v>0</v>
      </c>
      <c r="BR9" s="815"/>
    </row>
    <row r="10" spans="1:71" ht="15" customHeight="1" x14ac:dyDescent="0.25">
      <c r="A10" s="64">
        <v>4.5</v>
      </c>
      <c r="B10" s="283" t="s">
        <v>296</v>
      </c>
      <c r="C10" s="27" t="s">
        <v>1</v>
      </c>
      <c r="D10" s="27" t="s">
        <v>37</v>
      </c>
      <c r="E10" s="27" t="str">
        <f t="shared" si="31"/>
        <v>Contingency_Signing_SCC</v>
      </c>
      <c r="F10" s="27" t="str">
        <f t="shared" si="4"/>
        <v>Contingency_SCC</v>
      </c>
      <c r="G10" s="37" t="s">
        <v>523</v>
      </c>
      <c r="H10" s="331" t="str">
        <f t="shared" si="5"/>
        <v>Contingency_SCC_capex</v>
      </c>
      <c r="I10" s="331">
        <v>5</v>
      </c>
      <c r="J10" s="4">
        <f t="shared" si="6"/>
        <v>81600</v>
      </c>
      <c r="K10" s="27"/>
      <c r="L10" s="62"/>
      <c r="M10" s="62">
        <f>CALC_Current_option!$C$36</f>
        <v>81600</v>
      </c>
      <c r="N10" s="62"/>
      <c r="O10" s="62"/>
      <c r="P10" s="62"/>
      <c r="Q10" s="62"/>
      <c r="R10" s="62"/>
      <c r="S10" s="62">
        <f t="shared" ref="S10" si="32">SUM(L10:R10)</f>
        <v>81600</v>
      </c>
      <c r="T10" s="67">
        <f t="shared" ref="T10" si="33">SUMPRODUCT(L10:R10,$L$3:$R$3)</f>
        <v>78744</v>
      </c>
      <c r="U10" s="62"/>
      <c r="W10" s="13"/>
      <c r="X10" s="14"/>
      <c r="Y10" s="653">
        <v>1</v>
      </c>
      <c r="Z10" s="14"/>
      <c r="AA10" s="14"/>
      <c r="AB10" s="14"/>
      <c r="AC10" s="14"/>
      <c r="AD10" s="15"/>
      <c r="AE10" s="32"/>
      <c r="AF10" s="32"/>
      <c r="AH10" s="284">
        <f t="shared" si="25"/>
        <v>5</v>
      </c>
      <c r="AI10" s="90"/>
      <c r="AJ10" s="91"/>
      <c r="AK10" s="91">
        <f t="shared" si="7"/>
        <v>81600</v>
      </c>
      <c r="AL10" s="91"/>
      <c r="AM10" s="91"/>
      <c r="AN10" s="91"/>
      <c r="AO10" s="91"/>
      <c r="AP10" s="50"/>
      <c r="AQ10" s="770"/>
      <c r="AR10" s="4">
        <f t="shared" si="26"/>
        <v>81600</v>
      </c>
      <c r="AT10" s="4"/>
      <c r="AV10" s="131"/>
      <c r="AW10" s="100"/>
      <c r="AX10" s="100">
        <f t="shared" si="9"/>
        <v>78744</v>
      </c>
      <c r="AY10" s="100"/>
      <c r="AZ10" s="100"/>
      <c r="BA10" s="100"/>
      <c r="BB10" s="100"/>
      <c r="BC10" s="689"/>
      <c r="BE10" s="96">
        <f t="shared" si="15"/>
        <v>78744</v>
      </c>
      <c r="BG10" t="str">
        <f t="shared" si="16"/>
        <v>Contingency_Signing_SCC</v>
      </c>
      <c r="BJ10" s="133">
        <f t="shared" si="28"/>
        <v>0</v>
      </c>
      <c r="BK10" s="133">
        <f t="shared" si="17"/>
        <v>0</v>
      </c>
      <c r="BL10" s="133">
        <f t="shared" si="18"/>
        <v>0</v>
      </c>
      <c r="BM10" s="133">
        <f t="shared" si="19"/>
        <v>0</v>
      </c>
      <c r="BN10" s="133">
        <f t="shared" si="20"/>
        <v>0</v>
      </c>
      <c r="BO10" s="133">
        <f t="shared" si="21"/>
        <v>0</v>
      </c>
      <c r="BP10" s="133">
        <f t="shared" si="22"/>
        <v>0</v>
      </c>
      <c r="BR10" s="815"/>
    </row>
    <row r="11" spans="1:71" ht="15" customHeight="1" x14ac:dyDescent="0.25">
      <c r="A11" s="64">
        <v>5</v>
      </c>
      <c r="B11" s="60" t="s">
        <v>0</v>
      </c>
      <c r="C11" s="27" t="s">
        <v>58</v>
      </c>
      <c r="D11" s="27" t="s">
        <v>37</v>
      </c>
      <c r="E11" s="27" t="str">
        <f t="shared" si="31"/>
        <v>CAZ_Back office Set-up_SCC</v>
      </c>
      <c r="F11" s="27" t="str">
        <f t="shared" si="4"/>
        <v>CAZ_SCC</v>
      </c>
      <c r="G11" s="37" t="s">
        <v>523</v>
      </c>
      <c r="H11" s="331" t="str">
        <f t="shared" si="5"/>
        <v>CAZ_SCC_capex</v>
      </c>
      <c r="I11" s="331">
        <v>6</v>
      </c>
      <c r="J11" s="4">
        <f t="shared" si="6"/>
        <v>200000</v>
      </c>
      <c r="K11" s="27"/>
      <c r="L11" s="62"/>
      <c r="M11" s="62">
        <f>CALC_Current_option!$C$37</f>
        <v>200000</v>
      </c>
      <c r="N11" s="62"/>
      <c r="O11" s="62"/>
      <c r="P11" s="62"/>
      <c r="Q11" s="62"/>
      <c r="R11" s="62"/>
      <c r="S11" s="62">
        <f t="shared" si="29"/>
        <v>200000</v>
      </c>
      <c r="T11" s="67">
        <f t="shared" si="30"/>
        <v>193000</v>
      </c>
      <c r="U11" s="62"/>
      <c r="W11" s="13"/>
      <c r="X11" s="14"/>
      <c r="Y11" s="653">
        <v>1</v>
      </c>
      <c r="Z11" s="14"/>
      <c r="AA11" s="14"/>
      <c r="AB11" s="14"/>
      <c r="AC11" s="14"/>
      <c r="AD11" s="15"/>
      <c r="AE11" s="32"/>
      <c r="AF11" s="32"/>
      <c r="AH11" s="284">
        <f t="shared" si="25"/>
        <v>6</v>
      </c>
      <c r="AI11" s="90">
        <f t="shared" si="7"/>
        <v>0</v>
      </c>
      <c r="AJ11" s="91">
        <f t="shared" si="7"/>
        <v>0</v>
      </c>
      <c r="AK11" s="91">
        <f t="shared" si="7"/>
        <v>200000</v>
      </c>
      <c r="AL11" s="91">
        <f t="shared" si="7"/>
        <v>0</v>
      </c>
      <c r="AM11" s="91">
        <f t="shared" si="7"/>
        <v>0</v>
      </c>
      <c r="AN11" s="91">
        <f t="shared" si="7"/>
        <v>0</v>
      </c>
      <c r="AO11" s="91">
        <f t="shared" si="7"/>
        <v>0</v>
      </c>
      <c r="AP11" s="50">
        <f t="shared" si="7"/>
        <v>0</v>
      </c>
      <c r="AQ11" s="770"/>
      <c r="AR11" s="4">
        <f t="shared" si="26"/>
        <v>200000</v>
      </c>
      <c r="AT11" s="4"/>
      <c r="AV11" s="131">
        <f t="shared" si="27"/>
        <v>0</v>
      </c>
      <c r="AW11" s="100">
        <f t="shared" si="8"/>
        <v>0</v>
      </c>
      <c r="AX11" s="100">
        <f t="shared" si="9"/>
        <v>193000</v>
      </c>
      <c r="AY11" s="100">
        <f t="shared" si="10"/>
        <v>0</v>
      </c>
      <c r="AZ11" s="100">
        <f t="shared" si="11"/>
        <v>0</v>
      </c>
      <c r="BA11" s="100">
        <f t="shared" si="12"/>
        <v>0</v>
      </c>
      <c r="BB11" s="100">
        <f t="shared" si="13"/>
        <v>0</v>
      </c>
      <c r="BC11" s="689">
        <f t="shared" si="14"/>
        <v>0</v>
      </c>
      <c r="BE11" s="96">
        <f t="shared" si="15"/>
        <v>193000</v>
      </c>
      <c r="BG11" t="str">
        <f t="shared" si="16"/>
        <v>CAZ_Back office Set-up_SCC</v>
      </c>
      <c r="BJ11" s="133">
        <f t="shared" si="28"/>
        <v>0</v>
      </c>
      <c r="BK11" s="133">
        <f t="shared" si="17"/>
        <v>0</v>
      </c>
      <c r="BL11" s="133">
        <f t="shared" si="18"/>
        <v>0</v>
      </c>
      <c r="BM11" s="133">
        <f t="shared" si="19"/>
        <v>0</v>
      </c>
      <c r="BN11" s="133">
        <f t="shared" si="20"/>
        <v>0</v>
      </c>
      <c r="BO11" s="133">
        <f t="shared" si="21"/>
        <v>0</v>
      </c>
      <c r="BP11" s="133">
        <f t="shared" si="22"/>
        <v>0</v>
      </c>
      <c r="BR11" s="815"/>
    </row>
    <row r="12" spans="1:71" ht="15" customHeight="1" x14ac:dyDescent="0.25">
      <c r="A12" s="64">
        <v>6</v>
      </c>
      <c r="B12" s="60" t="s">
        <v>0</v>
      </c>
      <c r="C12" s="27" t="s">
        <v>59</v>
      </c>
      <c r="D12" s="27" t="s">
        <v>37</v>
      </c>
      <c r="E12" s="27" t="str">
        <f t="shared" si="31"/>
        <v>CAZ_Back office Running Costs_SCC</v>
      </c>
      <c r="F12" s="27" t="str">
        <f t="shared" si="4"/>
        <v>CAZ_SCC</v>
      </c>
      <c r="G12" s="37" t="s">
        <v>524</v>
      </c>
      <c r="H12" s="331" t="str">
        <f t="shared" si="5"/>
        <v>CAZ_SCC_opex</v>
      </c>
      <c r="I12" s="331">
        <v>7</v>
      </c>
      <c r="J12" s="4">
        <f t="shared" si="6"/>
        <v>1200000</v>
      </c>
      <c r="K12" s="27"/>
      <c r="L12" s="62"/>
      <c r="M12" s="62"/>
      <c r="N12" s="62">
        <f>CALC_Current_option!$C$38</f>
        <v>300000</v>
      </c>
      <c r="O12" s="62">
        <f>CALC_Current_option!$C$38</f>
        <v>300000</v>
      </c>
      <c r="P12" s="62">
        <f>CALC_Current_option!$C$38</f>
        <v>300000</v>
      </c>
      <c r="Q12" s="62">
        <f>CALC_Current_option!$C$38</f>
        <v>300000</v>
      </c>
      <c r="R12" s="62"/>
      <c r="S12" s="62">
        <f t="shared" si="29"/>
        <v>1200000</v>
      </c>
      <c r="T12" s="67">
        <f t="shared" si="30"/>
        <v>1060159.7478684373</v>
      </c>
      <c r="U12" s="62"/>
      <c r="W12" s="13"/>
      <c r="X12" s="14"/>
      <c r="Y12" s="653">
        <v>1</v>
      </c>
      <c r="Z12" s="14"/>
      <c r="AA12" s="14"/>
      <c r="AB12" s="14"/>
      <c r="AC12" s="14"/>
      <c r="AD12" s="15"/>
      <c r="AE12" s="32"/>
      <c r="AF12" s="32"/>
      <c r="AH12" s="284">
        <f t="shared" si="25"/>
        <v>7</v>
      </c>
      <c r="AI12" s="90">
        <f t="shared" si="7"/>
        <v>0</v>
      </c>
      <c r="AJ12" s="91">
        <f t="shared" si="7"/>
        <v>0</v>
      </c>
      <c r="AK12" s="91">
        <f t="shared" si="7"/>
        <v>1200000</v>
      </c>
      <c r="AL12" s="91">
        <f t="shared" si="7"/>
        <v>0</v>
      </c>
      <c r="AM12" s="91">
        <f t="shared" si="7"/>
        <v>0</v>
      </c>
      <c r="AN12" s="91">
        <f t="shared" si="7"/>
        <v>0</v>
      </c>
      <c r="AO12" s="91">
        <f t="shared" si="7"/>
        <v>0</v>
      </c>
      <c r="AP12" s="50">
        <f t="shared" si="7"/>
        <v>0</v>
      </c>
      <c r="AQ12" s="770"/>
      <c r="AR12" s="4">
        <f t="shared" si="26"/>
        <v>1200000</v>
      </c>
      <c r="AT12" s="4"/>
      <c r="AV12" s="131">
        <f t="shared" si="27"/>
        <v>0</v>
      </c>
      <c r="AW12" s="100">
        <f t="shared" si="8"/>
        <v>0</v>
      </c>
      <c r="AX12" s="100">
        <f t="shared" si="9"/>
        <v>1060159.7478684373</v>
      </c>
      <c r="AY12" s="100">
        <f t="shared" si="10"/>
        <v>0</v>
      </c>
      <c r="AZ12" s="100">
        <f t="shared" si="11"/>
        <v>0</v>
      </c>
      <c r="BA12" s="100">
        <f t="shared" si="12"/>
        <v>0</v>
      </c>
      <c r="BB12" s="100">
        <f t="shared" si="13"/>
        <v>0</v>
      </c>
      <c r="BC12" s="689">
        <f t="shared" si="14"/>
        <v>0</v>
      </c>
      <c r="BE12" s="96">
        <f t="shared" si="15"/>
        <v>1060159.7478684373</v>
      </c>
      <c r="BG12" t="str">
        <f t="shared" si="16"/>
        <v>CAZ_Back office Running Costs_SCC</v>
      </c>
      <c r="BJ12" s="133">
        <f t="shared" si="28"/>
        <v>0</v>
      </c>
      <c r="BK12" s="133">
        <f t="shared" si="17"/>
        <v>0</v>
      </c>
      <c r="BL12" s="133">
        <f t="shared" si="18"/>
        <v>0</v>
      </c>
      <c r="BM12" s="133">
        <f t="shared" si="19"/>
        <v>0</v>
      </c>
      <c r="BN12" s="133">
        <f t="shared" si="20"/>
        <v>0</v>
      </c>
      <c r="BO12" s="133">
        <f t="shared" si="21"/>
        <v>0</v>
      </c>
      <c r="BP12" s="133">
        <f t="shared" si="22"/>
        <v>0</v>
      </c>
      <c r="BR12" s="815"/>
    </row>
    <row r="13" spans="1:71" ht="28.5" customHeight="1" x14ac:dyDescent="0.25">
      <c r="A13" s="64">
        <v>7</v>
      </c>
      <c r="B13" s="60" t="s">
        <v>0</v>
      </c>
      <c r="C13" s="27" t="s">
        <v>261</v>
      </c>
      <c r="D13" s="27" t="s">
        <v>37</v>
      </c>
      <c r="E13" s="27" t="str">
        <f t="shared" si="31"/>
        <v>CAZ_Decomissioning - camera &amp; signing_SCC</v>
      </c>
      <c r="F13" s="27" t="str">
        <f t="shared" si="4"/>
        <v>CAZ_SCC</v>
      </c>
      <c r="G13" s="37" t="s">
        <v>523</v>
      </c>
      <c r="H13" s="331" t="str">
        <f t="shared" si="5"/>
        <v>CAZ_SCC_capex</v>
      </c>
      <c r="I13" s="331">
        <v>8</v>
      </c>
      <c r="J13" s="4">
        <f t="shared" si="6"/>
        <v>405600</v>
      </c>
      <c r="K13" s="27"/>
      <c r="L13" s="62"/>
      <c r="M13" s="62"/>
      <c r="N13" s="62"/>
      <c r="O13" s="62"/>
      <c r="P13" s="62"/>
      <c r="Q13" s="62"/>
      <c r="R13" s="62">
        <f>CALC_Current_option!$C$40</f>
        <v>405600</v>
      </c>
      <c r="S13" s="62">
        <f t="shared" si="29"/>
        <v>405600</v>
      </c>
      <c r="T13" s="67">
        <f t="shared" si="30"/>
        <v>327538.1007308655</v>
      </c>
      <c r="U13" s="62"/>
      <c r="W13" s="13"/>
      <c r="X13" s="14"/>
      <c r="Y13" s="653">
        <v>1</v>
      </c>
      <c r="Z13" s="14"/>
      <c r="AA13" s="14"/>
      <c r="AB13" s="14"/>
      <c r="AC13" s="14"/>
      <c r="AD13" s="15"/>
      <c r="AE13" s="32"/>
      <c r="AF13" s="32"/>
      <c r="AH13" s="284">
        <f t="shared" si="25"/>
        <v>8</v>
      </c>
      <c r="AI13" s="90">
        <f t="shared" si="7"/>
        <v>0</v>
      </c>
      <c r="AJ13" s="91">
        <f t="shared" si="7"/>
        <v>0</v>
      </c>
      <c r="AK13" s="91">
        <f t="shared" si="7"/>
        <v>405600</v>
      </c>
      <c r="AL13" s="91">
        <f t="shared" si="7"/>
        <v>0</v>
      </c>
      <c r="AM13" s="91">
        <f t="shared" si="7"/>
        <v>0</v>
      </c>
      <c r="AN13" s="91">
        <f t="shared" si="7"/>
        <v>0</v>
      </c>
      <c r="AO13" s="91">
        <f t="shared" si="7"/>
        <v>0</v>
      </c>
      <c r="AP13" s="50">
        <f t="shared" si="7"/>
        <v>0</v>
      </c>
      <c r="AQ13" s="770"/>
      <c r="AR13" s="4">
        <f t="shared" si="26"/>
        <v>405600</v>
      </c>
      <c r="AT13" s="4"/>
      <c r="AV13" s="131">
        <f t="shared" si="27"/>
        <v>0</v>
      </c>
      <c r="AW13" s="100">
        <f t="shared" si="8"/>
        <v>0</v>
      </c>
      <c r="AX13" s="100">
        <f t="shared" si="9"/>
        <v>327538.1007308655</v>
      </c>
      <c r="AY13" s="100">
        <f t="shared" si="10"/>
        <v>0</v>
      </c>
      <c r="AZ13" s="100">
        <f t="shared" si="11"/>
        <v>0</v>
      </c>
      <c r="BA13" s="100">
        <f t="shared" si="12"/>
        <v>0</v>
      </c>
      <c r="BB13" s="100">
        <f t="shared" si="13"/>
        <v>0</v>
      </c>
      <c r="BC13" s="689">
        <f t="shared" si="14"/>
        <v>0</v>
      </c>
      <c r="BE13" s="96">
        <f t="shared" si="15"/>
        <v>327538.1007308655</v>
      </c>
      <c r="BG13" t="str">
        <f t="shared" si="16"/>
        <v>CAZ_Decomissioning - camera &amp; signing_SCC</v>
      </c>
      <c r="BJ13" s="133">
        <f t="shared" si="28"/>
        <v>0</v>
      </c>
      <c r="BK13" s="133">
        <f t="shared" si="17"/>
        <v>0</v>
      </c>
      <c r="BL13" s="133">
        <f t="shared" si="18"/>
        <v>0</v>
      </c>
      <c r="BM13" s="133">
        <f t="shared" si="19"/>
        <v>0</v>
      </c>
      <c r="BN13" s="133">
        <f t="shared" si="20"/>
        <v>0</v>
      </c>
      <c r="BO13" s="133">
        <f t="shared" si="21"/>
        <v>0</v>
      </c>
      <c r="BP13" s="133">
        <f t="shared" si="22"/>
        <v>0</v>
      </c>
      <c r="BR13" s="815"/>
    </row>
    <row r="14" spans="1:71" ht="37.5" customHeight="1" thickBot="1" x14ac:dyDescent="0.3">
      <c r="A14" s="64">
        <v>8</v>
      </c>
      <c r="B14" s="60" t="s">
        <v>0</v>
      </c>
      <c r="C14" s="27" t="s">
        <v>83</v>
      </c>
      <c r="D14" s="27" t="s">
        <v>37</v>
      </c>
      <c r="E14" s="27" t="str">
        <f t="shared" si="31"/>
        <v>CAZ_Residual Value of the cameras_SCC</v>
      </c>
      <c r="F14" s="27" t="str">
        <f t="shared" si="4"/>
        <v>CAZ_SCC</v>
      </c>
      <c r="G14" s="37" t="s">
        <v>523</v>
      </c>
      <c r="H14" s="331" t="str">
        <f t="shared" si="5"/>
        <v>CAZ_SCC_capex</v>
      </c>
      <c r="I14" s="331">
        <v>9</v>
      </c>
      <c r="J14" s="4">
        <f t="shared" si="6"/>
        <v>0</v>
      </c>
      <c r="K14" s="27"/>
      <c r="L14" s="62"/>
      <c r="M14" s="62"/>
      <c r="N14" s="62"/>
      <c r="O14" s="62"/>
      <c r="P14" s="62"/>
      <c r="Q14" s="62"/>
      <c r="R14" s="62">
        <f>-CALC_Current_option!C32</f>
        <v>0</v>
      </c>
      <c r="S14" s="62">
        <f t="shared" si="29"/>
        <v>0</v>
      </c>
      <c r="T14" s="67">
        <f t="shared" si="30"/>
        <v>0</v>
      </c>
      <c r="U14" s="62"/>
      <c r="W14" s="16"/>
      <c r="X14" s="17"/>
      <c r="Y14" s="17"/>
      <c r="Z14" s="17"/>
      <c r="AA14" s="17"/>
      <c r="AB14" s="654">
        <v>1</v>
      </c>
      <c r="AC14" s="17"/>
      <c r="AD14" s="18"/>
      <c r="AE14" s="32"/>
      <c r="AF14" s="32"/>
      <c r="AH14" s="284">
        <f t="shared" si="25"/>
        <v>9</v>
      </c>
      <c r="AI14" s="90">
        <f t="shared" si="7"/>
        <v>0</v>
      </c>
      <c r="AJ14" s="91">
        <f t="shared" si="7"/>
        <v>0</v>
      </c>
      <c r="AK14" s="91">
        <f t="shared" si="7"/>
        <v>0</v>
      </c>
      <c r="AL14" s="91">
        <f t="shared" si="7"/>
        <v>0</v>
      </c>
      <c r="AM14" s="91">
        <f t="shared" si="7"/>
        <v>0</v>
      </c>
      <c r="AN14" s="91">
        <f t="shared" si="7"/>
        <v>0</v>
      </c>
      <c r="AO14" s="91">
        <f t="shared" si="7"/>
        <v>0</v>
      </c>
      <c r="AP14" s="50">
        <f t="shared" si="7"/>
        <v>0</v>
      </c>
      <c r="AQ14" s="770"/>
      <c r="AR14" s="4">
        <f t="shared" si="26"/>
        <v>0</v>
      </c>
      <c r="AT14" s="4"/>
      <c r="AV14" s="132">
        <f t="shared" si="27"/>
        <v>0</v>
      </c>
      <c r="AW14" s="128">
        <f t="shared" si="8"/>
        <v>0</v>
      </c>
      <c r="AX14" s="128">
        <f t="shared" si="9"/>
        <v>0</v>
      </c>
      <c r="AY14" s="128">
        <f t="shared" si="10"/>
        <v>0</v>
      </c>
      <c r="AZ14" s="128">
        <f t="shared" si="11"/>
        <v>0</v>
      </c>
      <c r="BA14" s="128">
        <f t="shared" si="12"/>
        <v>0</v>
      </c>
      <c r="BB14" s="128">
        <f t="shared" si="13"/>
        <v>0</v>
      </c>
      <c r="BC14" s="690">
        <f t="shared" si="14"/>
        <v>0</v>
      </c>
      <c r="BE14" s="96">
        <f t="shared" si="15"/>
        <v>0</v>
      </c>
      <c r="BG14" t="str">
        <f t="shared" si="16"/>
        <v>CAZ_Residual Value of the cameras_SCC</v>
      </c>
      <c r="BJ14" s="133">
        <f t="shared" si="28"/>
        <v>0</v>
      </c>
      <c r="BK14" s="133">
        <f t="shared" si="17"/>
        <v>0</v>
      </c>
      <c r="BL14" s="133">
        <f t="shared" si="18"/>
        <v>0</v>
      </c>
      <c r="BM14" s="133">
        <f t="shared" si="19"/>
        <v>0</v>
      </c>
      <c r="BN14" s="133">
        <f t="shared" si="20"/>
        <v>0</v>
      </c>
      <c r="BO14" s="133">
        <f t="shared" si="21"/>
        <v>0</v>
      </c>
      <c r="BP14" s="133">
        <f t="shared" si="22"/>
        <v>0</v>
      </c>
      <c r="BR14" s="815"/>
    </row>
    <row r="15" spans="1:71" ht="15" customHeight="1" thickBot="1" x14ac:dyDescent="0.3">
      <c r="A15" s="64"/>
      <c r="B15" s="60"/>
      <c r="C15" s="27"/>
      <c r="D15" s="27"/>
      <c r="E15" s="27"/>
      <c r="F15" s="27"/>
      <c r="G15" s="332"/>
      <c r="H15" s="331"/>
      <c r="I15" s="331">
        <v>10</v>
      </c>
      <c r="J15" s="4">
        <f t="shared" si="6"/>
        <v>0</v>
      </c>
      <c r="K15" s="154"/>
      <c r="L15" s="62"/>
      <c r="M15" s="62"/>
      <c r="N15" s="62"/>
      <c r="O15" s="62"/>
      <c r="P15" s="62"/>
      <c r="Q15" s="62"/>
      <c r="R15" s="62"/>
      <c r="S15" s="62"/>
      <c r="T15" s="67"/>
      <c r="U15" s="62"/>
      <c r="W15" s="32"/>
      <c r="X15" s="32"/>
      <c r="Y15" s="32"/>
      <c r="Z15" s="32"/>
      <c r="AA15" s="32"/>
      <c r="AB15" s="32"/>
      <c r="AC15" s="32"/>
      <c r="AD15" s="32"/>
      <c r="AE15" s="32"/>
      <c r="AF15" s="32"/>
      <c r="AH15" s="284">
        <f t="shared" si="25"/>
        <v>10</v>
      </c>
      <c r="AI15" s="90"/>
      <c r="AJ15" s="91"/>
      <c r="AK15" s="91"/>
      <c r="AL15" s="91"/>
      <c r="AM15" s="91"/>
      <c r="AN15" s="91"/>
      <c r="AO15" s="91"/>
      <c r="AP15" s="50"/>
      <c r="AQ15" s="770"/>
      <c r="AR15" s="4"/>
      <c r="AT15" s="4"/>
      <c r="AV15" s="52"/>
      <c r="AW15" s="52"/>
      <c r="AX15" s="52"/>
      <c r="AY15" s="52"/>
      <c r="AZ15" s="52"/>
      <c r="BA15" s="52"/>
      <c r="BB15" s="52"/>
      <c r="BC15" s="52"/>
      <c r="BD15" s="60"/>
      <c r="BE15" s="585"/>
      <c r="BJ15" s="133"/>
      <c r="BK15" s="133"/>
      <c r="BL15" s="133"/>
      <c r="BM15" s="133"/>
      <c r="BN15" s="133"/>
      <c r="BO15" s="133"/>
      <c r="BP15" s="133"/>
      <c r="BR15" s="815"/>
    </row>
    <row r="16" spans="1:71" ht="15.75" customHeight="1" thickBot="1" x14ac:dyDescent="0.3">
      <c r="A16" s="64"/>
      <c r="B16" s="120" t="s">
        <v>103</v>
      </c>
      <c r="C16" s="27"/>
      <c r="D16" s="27"/>
      <c r="G16" s="332"/>
      <c r="H16" s="331"/>
      <c r="I16" s="331">
        <v>11</v>
      </c>
      <c r="J16" s="4">
        <f t="shared" si="6"/>
        <v>0</v>
      </c>
      <c r="K16" s="150">
        <v>0</v>
      </c>
      <c r="L16" s="152">
        <f>INP_Assumptions!C122</f>
        <v>0.25</v>
      </c>
      <c r="M16" s="152">
        <f>INP_Assumptions!D122</f>
        <v>0.5</v>
      </c>
      <c r="N16" s="152">
        <f>INP_Assumptions!E122</f>
        <v>0.25</v>
      </c>
      <c r="O16" s="152">
        <f>INP_Assumptions!F122</f>
        <v>0</v>
      </c>
      <c r="P16" s="152">
        <f>INP_Assumptions!G122</f>
        <v>0</v>
      </c>
      <c r="Q16" s="152">
        <f>INP_Assumptions!H122</f>
        <v>0</v>
      </c>
      <c r="R16" s="62"/>
      <c r="S16" s="62"/>
      <c r="T16" s="67"/>
      <c r="U16" s="62"/>
      <c r="W16" s="32"/>
      <c r="X16" s="32"/>
      <c r="Y16" s="32"/>
      <c r="Z16" s="32"/>
      <c r="AA16" s="32"/>
      <c r="AB16" s="32"/>
      <c r="AC16" s="32"/>
      <c r="AD16" s="32"/>
      <c r="AE16" s="32"/>
      <c r="AF16" s="32"/>
      <c r="AH16" s="284">
        <f t="shared" si="25"/>
        <v>11</v>
      </c>
      <c r="AI16" s="90"/>
      <c r="AJ16" s="91"/>
      <c r="AK16" s="91"/>
      <c r="AL16" s="91"/>
      <c r="AM16" s="91"/>
      <c r="AN16" s="91"/>
      <c r="AO16" s="91"/>
      <c r="AP16" s="50"/>
      <c r="AQ16" s="770"/>
      <c r="AR16" s="4"/>
      <c r="AT16" s="4"/>
      <c r="AV16" s="52"/>
      <c r="AW16" s="52"/>
      <c r="AX16" s="52"/>
      <c r="AY16" s="52"/>
      <c r="AZ16" s="52"/>
      <c r="BA16" s="52"/>
      <c r="BB16" s="52"/>
      <c r="BC16" s="52"/>
      <c r="BD16" s="60"/>
      <c r="BE16" s="585"/>
      <c r="BJ16" s="133"/>
      <c r="BK16" s="133"/>
      <c r="BL16" s="133"/>
      <c r="BM16" s="133"/>
      <c r="BN16" s="133"/>
      <c r="BO16" s="133"/>
      <c r="BP16" s="133"/>
      <c r="BR16" s="815"/>
    </row>
    <row r="17" spans="1:70" ht="15.75" customHeight="1" thickBot="1" x14ac:dyDescent="0.3">
      <c r="A17" s="64"/>
      <c r="B17" s="120"/>
      <c r="C17" s="27"/>
      <c r="D17" s="27"/>
      <c r="G17" s="332"/>
      <c r="H17" s="331"/>
      <c r="I17" s="331">
        <v>12</v>
      </c>
      <c r="J17" s="4">
        <f t="shared" si="6"/>
        <v>0</v>
      </c>
      <c r="K17" s="150">
        <v>0</v>
      </c>
      <c r="L17" s="147">
        <f>K17+(K16+L16)/2</f>
        <v>0.125</v>
      </c>
      <c r="M17" s="148">
        <f t="shared" ref="M17" si="34">L17+(L16+M16)/2</f>
        <v>0.5</v>
      </c>
      <c r="N17" s="148">
        <f t="shared" ref="N17" si="35">M17+(M16+N16)/2</f>
        <v>0.875</v>
      </c>
      <c r="O17" s="148">
        <f t="shared" ref="O17" si="36">N17+(N16+O16)/2</f>
        <v>1</v>
      </c>
      <c r="P17" s="148">
        <f t="shared" ref="P17" si="37">O17+(O16+P16)/2</f>
        <v>1</v>
      </c>
      <c r="Q17" s="149">
        <f t="shared" ref="Q17" si="38">P17+(P16+Q16)/2</f>
        <v>1</v>
      </c>
      <c r="R17" s="62"/>
      <c r="S17" s="62"/>
      <c r="T17" s="67"/>
      <c r="U17" s="62"/>
      <c r="W17" s="32"/>
      <c r="X17" s="32"/>
      <c r="Y17" s="32"/>
      <c r="Z17" s="32"/>
      <c r="AA17" s="32"/>
      <c r="AB17" s="32"/>
      <c r="AC17" s="32"/>
      <c r="AD17" s="32"/>
      <c r="AE17" s="32"/>
      <c r="AF17" s="32"/>
      <c r="AH17" s="284">
        <f t="shared" si="25"/>
        <v>12</v>
      </c>
      <c r="AI17" s="90"/>
      <c r="AJ17" s="91"/>
      <c r="AK17" s="91"/>
      <c r="AL17" s="91"/>
      <c r="AM17" s="91"/>
      <c r="AN17" s="91"/>
      <c r="AO17" s="91"/>
      <c r="AP17" s="50"/>
      <c r="AQ17" s="770"/>
      <c r="AR17" s="4"/>
      <c r="AT17" s="4"/>
      <c r="AV17" s="52"/>
      <c r="AW17" s="52"/>
      <c r="AX17" s="52"/>
      <c r="AY17" s="52"/>
      <c r="AZ17" s="52"/>
      <c r="BA17" s="52"/>
      <c r="BB17" s="52"/>
      <c r="BC17" s="52"/>
      <c r="BD17" s="60"/>
      <c r="BE17" s="585"/>
      <c r="BJ17" s="133"/>
      <c r="BK17" s="133"/>
      <c r="BL17" s="133"/>
      <c r="BM17" s="133"/>
      <c r="BN17" s="133"/>
      <c r="BO17" s="133"/>
      <c r="BP17" s="133"/>
      <c r="BR17" s="815"/>
    </row>
    <row r="18" spans="1:70" ht="15" customHeight="1" x14ac:dyDescent="0.25">
      <c r="A18" s="66">
        <v>1</v>
      </c>
      <c r="B18" s="60" t="s">
        <v>103</v>
      </c>
      <c r="C18" s="27" t="s">
        <v>104</v>
      </c>
      <c r="D18" s="27" t="s">
        <v>37</v>
      </c>
      <c r="E18" s="27" t="str">
        <f t="shared" ref="E18:E20" si="39">CONCATENATE(B18,"_",C18,"_",D18)</f>
        <v>Private Cars_Upgrading fleet_SCC</v>
      </c>
      <c r="F18" s="27" t="str">
        <f t="shared" ref="F18:F20" si="40">CONCATENATE(B18,"_",D18)</f>
        <v>Private Cars_SCC</v>
      </c>
      <c r="G18" s="37" t="s">
        <v>570</v>
      </c>
      <c r="H18" s="331" t="str">
        <f t="shared" si="5"/>
        <v>Private Cars_SCC_Ignore</v>
      </c>
      <c r="I18" s="331">
        <v>13</v>
      </c>
      <c r="J18" s="4">
        <f t="shared" si="6"/>
        <v>0</v>
      </c>
      <c r="K18" s="27"/>
      <c r="L18" s="101">
        <f>L$16*CALC_Current_option!$C62</f>
        <v>0</v>
      </c>
      <c r="M18" s="28">
        <f>M$16*CALC_Current_option!$C62</f>
        <v>0</v>
      </c>
      <c r="N18" s="28">
        <f>N$16*CALC_Current_option!$C62</f>
        <v>0</v>
      </c>
      <c r="O18" s="28">
        <f>O$16*CALC_Current_option!$C62</f>
        <v>0</v>
      </c>
      <c r="P18" s="28">
        <f>P$16*CALC_Current_option!$C62</f>
        <v>0</v>
      </c>
      <c r="Q18" s="29">
        <f>Q$16*CALC_Current_option!$C62</f>
        <v>0</v>
      </c>
      <c r="R18" s="287">
        <f>-CALC_Current_option!C62</f>
        <v>0</v>
      </c>
      <c r="S18" s="62">
        <f t="shared" ref="S18:S20" si="41">SUM(L18:R18)</f>
        <v>0</v>
      </c>
      <c r="T18" s="67">
        <f t="shared" ref="T18:T20" si="42">SUMPRODUCT(L18:R18,$L$3:$R$3)</f>
        <v>0</v>
      </c>
      <c r="U18" s="62"/>
      <c r="W18" s="13"/>
      <c r="X18" s="14"/>
      <c r="Y18" s="14"/>
      <c r="Z18" s="14"/>
      <c r="AA18" s="14"/>
      <c r="AB18" s="14"/>
      <c r="AC18" s="14"/>
      <c r="AD18" s="655">
        <v>1</v>
      </c>
      <c r="AE18" s="32"/>
      <c r="AF18" s="32"/>
      <c r="AH18" s="284">
        <f t="shared" si="25"/>
        <v>13</v>
      </c>
      <c r="AI18" s="90">
        <f t="shared" ref="AI18:AI20" si="43">$S18*W18</f>
        <v>0</v>
      </c>
      <c r="AJ18" s="91">
        <f t="shared" ref="AJ18:AJ20" si="44">$S18*X18</f>
        <v>0</v>
      </c>
      <c r="AK18" s="91">
        <f t="shared" ref="AK18:AK20" si="45">$S18*Y18</f>
        <v>0</v>
      </c>
      <c r="AL18" s="91">
        <f t="shared" ref="AL18:AL20" si="46">$S18*Z18</f>
        <v>0</v>
      </c>
      <c r="AM18" s="91">
        <f t="shared" ref="AM18:AM20" si="47">$S18*AA18</f>
        <v>0</v>
      </c>
      <c r="AN18" s="91">
        <f t="shared" ref="AN18:AN20" si="48">$S18*AB18</f>
        <v>0</v>
      </c>
      <c r="AO18" s="91">
        <f t="shared" ref="AO18:AO20" si="49">$S18*AC18</f>
        <v>0</v>
      </c>
      <c r="AP18" s="50">
        <f t="shared" ref="AP18:AP20" si="50">$S18*AD18</f>
        <v>0</v>
      </c>
      <c r="AQ18" s="770"/>
      <c r="AR18" s="4">
        <f t="shared" ref="AR18:AR20" si="51">SUM(AI18:AP18)</f>
        <v>0</v>
      </c>
      <c r="AT18" s="4"/>
      <c r="AV18" s="129">
        <f t="shared" ref="AV18:AV20" si="52">$T18*W18</f>
        <v>0</v>
      </c>
      <c r="AW18" s="130">
        <f t="shared" ref="AW18:AW20" si="53">$T18*X18</f>
        <v>0</v>
      </c>
      <c r="AX18" s="130">
        <f t="shared" ref="AX18:AX20" si="54">$T18*Y18</f>
        <v>0</v>
      </c>
      <c r="AY18" s="130">
        <f t="shared" ref="AY18:AY20" si="55">$T18*Z18</f>
        <v>0</v>
      </c>
      <c r="AZ18" s="130">
        <f t="shared" ref="AZ18:AZ20" si="56">$T18*AA18</f>
        <v>0</v>
      </c>
      <c r="BA18" s="130">
        <f t="shared" ref="BA18:BA20" si="57">$T18*AB18</f>
        <v>0</v>
      </c>
      <c r="BB18" s="130">
        <f t="shared" ref="BB18:BB20" si="58">$T18*AC18</f>
        <v>0</v>
      </c>
      <c r="BC18" s="688">
        <f t="shared" ref="BC18:BC20" si="59">$T18*AD18</f>
        <v>0</v>
      </c>
      <c r="BE18" s="96">
        <f t="shared" ref="BE18:BE20" si="60">SUM(AV18:BC18)</f>
        <v>0</v>
      </c>
      <c r="BG18" t="str">
        <f t="shared" ref="BG18:BG26" si="61">E18</f>
        <v>Private Cars_Upgrading fleet_SCC</v>
      </c>
      <c r="BJ18" s="133">
        <f t="shared" si="28"/>
        <v>0</v>
      </c>
      <c r="BK18" s="133">
        <f t="shared" si="17"/>
        <v>0</v>
      </c>
      <c r="BL18" s="133">
        <f t="shared" si="18"/>
        <v>0</v>
      </c>
      <c r="BM18" s="133">
        <f t="shared" si="19"/>
        <v>0</v>
      </c>
      <c r="BN18" s="133">
        <f t="shared" si="20"/>
        <v>0</v>
      </c>
      <c r="BO18" s="133">
        <f t="shared" si="21"/>
        <v>0</v>
      </c>
      <c r="BP18" s="133">
        <f t="shared" si="22"/>
        <v>0</v>
      </c>
      <c r="BR18" s="815"/>
    </row>
    <row r="19" spans="1:70" ht="15" customHeight="1" x14ac:dyDescent="0.25">
      <c r="A19" s="66">
        <v>2</v>
      </c>
      <c r="B19" s="60" t="s">
        <v>103</v>
      </c>
      <c r="C19" s="27" t="s">
        <v>104</v>
      </c>
      <c r="D19" s="27" t="s">
        <v>38</v>
      </c>
      <c r="E19" s="27" t="str">
        <f t="shared" si="39"/>
        <v>Private Cars_Upgrading fleet_RMBC</v>
      </c>
      <c r="F19" s="27" t="str">
        <f t="shared" si="40"/>
        <v>Private Cars_RMBC</v>
      </c>
      <c r="G19" s="37" t="s">
        <v>570</v>
      </c>
      <c r="H19" s="331" t="str">
        <f t="shared" si="5"/>
        <v>Private Cars_RMBC_Ignore</v>
      </c>
      <c r="I19" s="331">
        <v>14</v>
      </c>
      <c r="J19" s="4">
        <f t="shared" si="6"/>
        <v>0</v>
      </c>
      <c r="K19" s="27"/>
      <c r="L19" s="102">
        <f>L$16*CALC_Current_option!$C63</f>
        <v>0</v>
      </c>
      <c r="M19" s="30">
        <f>M$16*CALC_Current_option!$C63</f>
        <v>0</v>
      </c>
      <c r="N19" s="30">
        <f>N$16*CALC_Current_option!$C63</f>
        <v>0</v>
      </c>
      <c r="O19" s="30">
        <f>O$16*CALC_Current_option!$C63</f>
        <v>0</v>
      </c>
      <c r="P19" s="30">
        <f>P$16*CALC_Current_option!$C63</f>
        <v>0</v>
      </c>
      <c r="Q19" s="103">
        <f>Q$16*CALC_Current_option!$C63</f>
        <v>0</v>
      </c>
      <c r="R19" s="288">
        <f>-CALC_Current_option!C63</f>
        <v>0</v>
      </c>
      <c r="S19" s="62">
        <f t="shared" si="41"/>
        <v>0</v>
      </c>
      <c r="T19" s="67">
        <f t="shared" si="42"/>
        <v>0</v>
      </c>
      <c r="U19" s="62"/>
      <c r="W19" s="13"/>
      <c r="X19" s="14"/>
      <c r="Y19" s="14"/>
      <c r="Z19" s="14"/>
      <c r="AA19" s="14"/>
      <c r="AB19" s="14"/>
      <c r="AC19" s="14"/>
      <c r="AD19" s="655">
        <v>1</v>
      </c>
      <c r="AE19" s="32"/>
      <c r="AF19" s="32"/>
      <c r="AH19" s="284">
        <f t="shared" si="25"/>
        <v>14</v>
      </c>
      <c r="AI19" s="90">
        <f t="shared" si="43"/>
        <v>0</v>
      </c>
      <c r="AJ19" s="91">
        <f t="shared" si="44"/>
        <v>0</v>
      </c>
      <c r="AK19" s="91">
        <f t="shared" si="45"/>
        <v>0</v>
      </c>
      <c r="AL19" s="91">
        <f t="shared" si="46"/>
        <v>0</v>
      </c>
      <c r="AM19" s="91">
        <f t="shared" si="47"/>
        <v>0</v>
      </c>
      <c r="AN19" s="91">
        <f t="shared" si="48"/>
        <v>0</v>
      </c>
      <c r="AO19" s="91">
        <f t="shared" si="49"/>
        <v>0</v>
      </c>
      <c r="AP19" s="50">
        <f t="shared" si="50"/>
        <v>0</v>
      </c>
      <c r="AQ19" s="770"/>
      <c r="AR19" s="4">
        <f t="shared" si="51"/>
        <v>0</v>
      </c>
      <c r="AT19" s="4"/>
      <c r="AV19" s="131">
        <f t="shared" si="52"/>
        <v>0</v>
      </c>
      <c r="AW19" s="100">
        <f t="shared" si="53"/>
        <v>0</v>
      </c>
      <c r="AX19" s="100">
        <f t="shared" si="54"/>
        <v>0</v>
      </c>
      <c r="AY19" s="100">
        <f t="shared" si="55"/>
        <v>0</v>
      </c>
      <c r="AZ19" s="100">
        <f t="shared" si="56"/>
        <v>0</v>
      </c>
      <c r="BA19" s="100">
        <f t="shared" si="57"/>
        <v>0</v>
      </c>
      <c r="BB19" s="100">
        <f t="shared" si="58"/>
        <v>0</v>
      </c>
      <c r="BC19" s="689">
        <f t="shared" si="59"/>
        <v>0</v>
      </c>
      <c r="BE19" s="96">
        <f t="shared" si="60"/>
        <v>0</v>
      </c>
      <c r="BG19" t="str">
        <f t="shared" si="61"/>
        <v>Private Cars_Upgrading fleet_RMBC</v>
      </c>
      <c r="BJ19" s="133">
        <f t="shared" si="28"/>
        <v>0</v>
      </c>
      <c r="BK19" s="133">
        <f t="shared" si="17"/>
        <v>0</v>
      </c>
      <c r="BL19" s="133">
        <f t="shared" si="18"/>
        <v>0</v>
      </c>
      <c r="BM19" s="133">
        <f t="shared" si="19"/>
        <v>0</v>
      </c>
      <c r="BN19" s="133">
        <f t="shared" si="20"/>
        <v>0</v>
      </c>
      <c r="BO19" s="133">
        <f t="shared" si="21"/>
        <v>0</v>
      </c>
      <c r="BP19" s="133">
        <f t="shared" si="22"/>
        <v>0</v>
      </c>
      <c r="BR19" s="815"/>
    </row>
    <row r="20" spans="1:70" ht="15.75" customHeight="1" thickBot="1" x14ac:dyDescent="0.3">
      <c r="A20" s="64">
        <v>3</v>
      </c>
      <c r="B20" s="60" t="s">
        <v>103</v>
      </c>
      <c r="C20" s="27" t="s">
        <v>104</v>
      </c>
      <c r="D20" s="27" t="s">
        <v>114</v>
      </c>
      <c r="E20" s="27" t="str">
        <f t="shared" si="39"/>
        <v>Private Cars_Upgrading fleet_External</v>
      </c>
      <c r="F20" s="27" t="str">
        <f t="shared" si="40"/>
        <v>Private Cars_External</v>
      </c>
      <c r="G20" s="37" t="s">
        <v>570</v>
      </c>
      <c r="H20" s="331" t="str">
        <f t="shared" si="5"/>
        <v>Private Cars_External_Ignore</v>
      </c>
      <c r="I20" s="331">
        <v>15</v>
      </c>
      <c r="J20" s="4">
        <f t="shared" si="6"/>
        <v>0</v>
      </c>
      <c r="K20" s="27"/>
      <c r="L20" s="104">
        <f>L$16*CALC_Current_option!$C64</f>
        <v>0</v>
      </c>
      <c r="M20" s="105">
        <f>M$16*CALC_Current_option!$C64</f>
        <v>0</v>
      </c>
      <c r="N20" s="105">
        <f>N$16*CALC_Current_option!$C64</f>
        <v>0</v>
      </c>
      <c r="O20" s="105">
        <f>O$16*CALC_Current_option!$C64</f>
        <v>0</v>
      </c>
      <c r="P20" s="105">
        <f>P$16*CALC_Current_option!$C64</f>
        <v>0</v>
      </c>
      <c r="Q20" s="106">
        <f>Q$16*CALC_Current_option!$C64</f>
        <v>0</v>
      </c>
      <c r="R20" s="289">
        <f>-CALC_Current_option!C64</f>
        <v>0</v>
      </c>
      <c r="S20" s="62">
        <f t="shared" si="41"/>
        <v>0</v>
      </c>
      <c r="T20" s="67">
        <f t="shared" si="42"/>
        <v>0</v>
      </c>
      <c r="U20" s="62"/>
      <c r="W20" s="13"/>
      <c r="X20" s="14"/>
      <c r="Y20" s="14"/>
      <c r="Z20" s="14"/>
      <c r="AA20" s="14"/>
      <c r="AB20" s="14"/>
      <c r="AC20" s="14"/>
      <c r="AD20" s="655">
        <v>1</v>
      </c>
      <c r="AE20" s="32"/>
      <c r="AF20" s="32"/>
      <c r="AH20" s="284">
        <f t="shared" si="25"/>
        <v>15</v>
      </c>
      <c r="AI20" s="90">
        <f t="shared" si="43"/>
        <v>0</v>
      </c>
      <c r="AJ20" s="91">
        <f t="shared" si="44"/>
        <v>0</v>
      </c>
      <c r="AK20" s="91">
        <f t="shared" si="45"/>
        <v>0</v>
      </c>
      <c r="AL20" s="91">
        <f t="shared" si="46"/>
        <v>0</v>
      </c>
      <c r="AM20" s="91">
        <f t="shared" si="47"/>
        <v>0</v>
      </c>
      <c r="AN20" s="91">
        <f t="shared" si="48"/>
        <v>0</v>
      </c>
      <c r="AO20" s="91">
        <f t="shared" si="49"/>
        <v>0</v>
      </c>
      <c r="AP20" s="50">
        <f t="shared" si="50"/>
        <v>0</v>
      </c>
      <c r="AQ20" s="770"/>
      <c r="AR20" s="4">
        <f t="shared" si="51"/>
        <v>0</v>
      </c>
      <c r="AT20" s="4"/>
      <c r="AV20" s="131">
        <f t="shared" si="52"/>
        <v>0</v>
      </c>
      <c r="AW20" s="100">
        <f t="shared" si="53"/>
        <v>0</v>
      </c>
      <c r="AX20" s="100">
        <f t="shared" si="54"/>
        <v>0</v>
      </c>
      <c r="AY20" s="100">
        <f t="shared" si="55"/>
        <v>0</v>
      </c>
      <c r="AZ20" s="100">
        <f t="shared" si="56"/>
        <v>0</v>
      </c>
      <c r="BA20" s="100">
        <f t="shared" si="57"/>
        <v>0</v>
      </c>
      <c r="BB20" s="100">
        <f t="shared" si="58"/>
        <v>0</v>
      </c>
      <c r="BC20" s="689">
        <f t="shared" si="59"/>
        <v>0</v>
      </c>
      <c r="BE20" s="96">
        <f t="shared" si="60"/>
        <v>0</v>
      </c>
      <c r="BG20" t="str">
        <f t="shared" si="61"/>
        <v>Private Cars_Upgrading fleet_External</v>
      </c>
      <c r="BJ20" s="133">
        <f t="shared" si="28"/>
        <v>0</v>
      </c>
      <c r="BK20" s="133">
        <f t="shared" si="17"/>
        <v>0</v>
      </c>
      <c r="BL20" s="133">
        <f t="shared" si="18"/>
        <v>0</v>
      </c>
      <c r="BM20" s="133">
        <f t="shared" si="19"/>
        <v>0</v>
      </c>
      <c r="BN20" s="133">
        <f t="shared" si="20"/>
        <v>0</v>
      </c>
      <c r="BO20" s="133">
        <f t="shared" si="21"/>
        <v>0</v>
      </c>
      <c r="BP20" s="133">
        <f t="shared" si="22"/>
        <v>0</v>
      </c>
      <c r="BR20" s="815"/>
    </row>
    <row r="21" spans="1:70" ht="30" customHeight="1" x14ac:dyDescent="0.25">
      <c r="A21" s="66">
        <v>4</v>
      </c>
      <c r="B21" s="60" t="s">
        <v>103</v>
      </c>
      <c r="C21" s="27" t="s">
        <v>211</v>
      </c>
      <c r="D21" s="27" t="s">
        <v>37</v>
      </c>
      <c r="E21" s="27" t="str">
        <f t="shared" si="31"/>
        <v>Private Cars_Operating Cost Savings_SCC</v>
      </c>
      <c r="F21" s="27" t="str">
        <f t="shared" si="4"/>
        <v>Private Cars_SCC</v>
      </c>
      <c r="G21" s="37" t="s">
        <v>570</v>
      </c>
      <c r="H21" s="331" t="str">
        <f t="shared" si="5"/>
        <v>Private Cars_SCC_Ignore</v>
      </c>
      <c r="I21" s="331">
        <v>16</v>
      </c>
      <c r="J21" s="4">
        <f t="shared" si="6"/>
        <v>0</v>
      </c>
      <c r="K21" s="27"/>
      <c r="L21" s="101">
        <f>- L$17*CALC_Current_option!$D62*L$4</f>
        <v>0</v>
      </c>
      <c r="M21" s="28">
        <f>- M$17*CALC_Current_option!$D62*M$4</f>
        <v>0</v>
      </c>
      <c r="N21" s="28">
        <f>- N$17*CALC_Current_option!$D62*N$4</f>
        <v>0</v>
      </c>
      <c r="O21" s="28">
        <f>- O$17*CALC_Current_option!$D62*O$4</f>
        <v>0</v>
      </c>
      <c r="P21" s="28">
        <f>- P$17*CALC_Current_option!$D62*P$4</f>
        <v>0</v>
      </c>
      <c r="Q21" s="29">
        <f>- Q$17*CALC_Current_option!$D62*Q$4</f>
        <v>0</v>
      </c>
      <c r="R21" s="30"/>
      <c r="S21" s="62">
        <f t="shared" si="29"/>
        <v>0</v>
      </c>
      <c r="T21" s="67">
        <f t="shared" ref="T21:T23" si="62">SUMPRODUCT(L21:R21,$L$3:$R$3)</f>
        <v>0</v>
      </c>
      <c r="U21" s="62"/>
      <c r="W21" s="13"/>
      <c r="X21" s="14"/>
      <c r="Y21" s="14"/>
      <c r="Z21" s="14"/>
      <c r="AA21" s="14"/>
      <c r="AB21" s="14"/>
      <c r="AC21" s="14"/>
      <c r="AD21" s="655">
        <v>1</v>
      </c>
      <c r="AE21" s="32"/>
      <c r="AF21" s="32"/>
      <c r="AH21" s="284">
        <f t="shared" si="25"/>
        <v>16</v>
      </c>
      <c r="AI21" s="90">
        <f t="shared" ref="AI21:AP23" si="63">$S21*W21</f>
        <v>0</v>
      </c>
      <c r="AJ21" s="91">
        <f t="shared" si="63"/>
        <v>0</v>
      </c>
      <c r="AK21" s="91">
        <f t="shared" si="63"/>
        <v>0</v>
      </c>
      <c r="AL21" s="91">
        <f t="shared" si="63"/>
        <v>0</v>
      </c>
      <c r="AM21" s="91">
        <f t="shared" si="63"/>
        <v>0</v>
      </c>
      <c r="AN21" s="91">
        <f t="shared" si="63"/>
        <v>0</v>
      </c>
      <c r="AO21" s="91">
        <f t="shared" si="63"/>
        <v>0</v>
      </c>
      <c r="AP21" s="50">
        <f t="shared" si="63"/>
        <v>0</v>
      </c>
      <c r="AQ21" s="770"/>
      <c r="AR21" s="4">
        <f t="shared" si="26"/>
        <v>0</v>
      </c>
      <c r="AT21" s="4"/>
      <c r="AV21" s="131">
        <f t="shared" si="27"/>
        <v>0</v>
      </c>
      <c r="AW21" s="100">
        <f t="shared" si="8"/>
        <v>0</v>
      </c>
      <c r="AX21" s="100">
        <f t="shared" si="9"/>
        <v>0</v>
      </c>
      <c r="AY21" s="100">
        <f t="shared" si="10"/>
        <v>0</v>
      </c>
      <c r="AZ21" s="100">
        <f t="shared" si="11"/>
        <v>0</v>
      </c>
      <c r="BA21" s="100">
        <f t="shared" si="12"/>
        <v>0</v>
      </c>
      <c r="BB21" s="100">
        <f t="shared" si="13"/>
        <v>0</v>
      </c>
      <c r="BC21" s="689">
        <f t="shared" si="14"/>
        <v>0</v>
      </c>
      <c r="BE21" s="96">
        <f t="shared" si="15"/>
        <v>0</v>
      </c>
      <c r="BG21" t="str">
        <f t="shared" si="61"/>
        <v>Private Cars_Operating Cost Savings_SCC</v>
      </c>
      <c r="BJ21" s="133">
        <f t="shared" si="28"/>
        <v>0</v>
      </c>
      <c r="BK21" s="133">
        <f t="shared" si="17"/>
        <v>0</v>
      </c>
      <c r="BL21" s="133">
        <f t="shared" si="18"/>
        <v>0</v>
      </c>
      <c r="BM21" s="133">
        <f t="shared" si="19"/>
        <v>0</v>
      </c>
      <c r="BN21" s="133">
        <f t="shared" si="20"/>
        <v>0</v>
      </c>
      <c r="BO21" s="133">
        <f t="shared" si="21"/>
        <v>0</v>
      </c>
      <c r="BP21" s="133">
        <f t="shared" si="22"/>
        <v>0</v>
      </c>
      <c r="BR21" s="815"/>
    </row>
    <row r="22" spans="1:70" ht="38.25" customHeight="1" x14ac:dyDescent="0.25">
      <c r="A22" s="66">
        <v>5</v>
      </c>
      <c r="B22" s="60" t="s">
        <v>103</v>
      </c>
      <c r="C22" s="27" t="s">
        <v>211</v>
      </c>
      <c r="D22" s="27" t="s">
        <v>38</v>
      </c>
      <c r="E22" s="27" t="str">
        <f t="shared" si="31"/>
        <v>Private Cars_Operating Cost Savings_RMBC</v>
      </c>
      <c r="F22" s="27" t="str">
        <f t="shared" si="4"/>
        <v>Private Cars_RMBC</v>
      </c>
      <c r="G22" s="37" t="s">
        <v>570</v>
      </c>
      <c r="H22" s="331" t="str">
        <f t="shared" si="5"/>
        <v>Private Cars_RMBC_Ignore</v>
      </c>
      <c r="I22" s="331">
        <v>17</v>
      </c>
      <c r="J22" s="4">
        <f t="shared" si="6"/>
        <v>0</v>
      </c>
      <c r="K22" s="27"/>
      <c r="L22" s="102">
        <f>- L$17*CALC_Current_option!$D63*L$4</f>
        <v>0</v>
      </c>
      <c r="M22" s="30">
        <f>- M$17*CALC_Current_option!$D63*M$4</f>
        <v>0</v>
      </c>
      <c r="N22" s="30">
        <f>- N$17*CALC_Current_option!$D63*N$4</f>
        <v>0</v>
      </c>
      <c r="O22" s="30">
        <f>- O$17*CALC_Current_option!$D63*O$4</f>
        <v>0</v>
      </c>
      <c r="P22" s="30">
        <f>- P$17*CALC_Current_option!$D63*P$4</f>
        <v>0</v>
      </c>
      <c r="Q22" s="103">
        <f>- Q$17*CALC_Current_option!$D63*Q$4</f>
        <v>0</v>
      </c>
      <c r="R22" s="30"/>
      <c r="S22" s="62">
        <f t="shared" si="29"/>
        <v>0</v>
      </c>
      <c r="T22" s="67">
        <f t="shared" si="62"/>
        <v>0</v>
      </c>
      <c r="U22" s="62"/>
      <c r="W22" s="13"/>
      <c r="X22" s="14"/>
      <c r="Y22" s="14"/>
      <c r="Z22" s="14"/>
      <c r="AA22" s="14"/>
      <c r="AB22" s="14"/>
      <c r="AC22" s="14"/>
      <c r="AD22" s="655">
        <v>1</v>
      </c>
      <c r="AE22" s="32"/>
      <c r="AF22" s="32"/>
      <c r="AH22" s="284">
        <f t="shared" si="25"/>
        <v>17</v>
      </c>
      <c r="AI22" s="90">
        <f t="shared" si="63"/>
        <v>0</v>
      </c>
      <c r="AJ22" s="91">
        <f t="shared" si="63"/>
        <v>0</v>
      </c>
      <c r="AK22" s="91">
        <f t="shared" si="63"/>
        <v>0</v>
      </c>
      <c r="AL22" s="91">
        <f t="shared" si="63"/>
        <v>0</v>
      </c>
      <c r="AM22" s="91">
        <f t="shared" si="63"/>
        <v>0</v>
      </c>
      <c r="AN22" s="91">
        <f t="shared" si="63"/>
        <v>0</v>
      </c>
      <c r="AO22" s="91">
        <f t="shared" si="63"/>
        <v>0</v>
      </c>
      <c r="AP22" s="50">
        <f t="shared" si="63"/>
        <v>0</v>
      </c>
      <c r="AQ22" s="770"/>
      <c r="AR22" s="4">
        <f t="shared" si="26"/>
        <v>0</v>
      </c>
      <c r="AT22" s="4"/>
      <c r="AV22" s="131">
        <f t="shared" si="27"/>
        <v>0</v>
      </c>
      <c r="AW22" s="100">
        <f t="shared" si="8"/>
        <v>0</v>
      </c>
      <c r="AX22" s="100">
        <f t="shared" si="9"/>
        <v>0</v>
      </c>
      <c r="AY22" s="100">
        <f t="shared" si="10"/>
        <v>0</v>
      </c>
      <c r="AZ22" s="100">
        <f t="shared" si="11"/>
        <v>0</v>
      </c>
      <c r="BA22" s="100">
        <f t="shared" si="12"/>
        <v>0</v>
      </c>
      <c r="BB22" s="100">
        <f t="shared" si="13"/>
        <v>0</v>
      </c>
      <c r="BC22" s="689">
        <f t="shared" si="14"/>
        <v>0</v>
      </c>
      <c r="BE22" s="96">
        <f t="shared" si="15"/>
        <v>0</v>
      </c>
      <c r="BG22" t="str">
        <f t="shared" si="61"/>
        <v>Private Cars_Operating Cost Savings_RMBC</v>
      </c>
      <c r="BJ22" s="133">
        <f t="shared" si="28"/>
        <v>0</v>
      </c>
      <c r="BK22" s="133">
        <f t="shared" si="17"/>
        <v>0</v>
      </c>
      <c r="BL22" s="133">
        <f t="shared" si="18"/>
        <v>0</v>
      </c>
      <c r="BM22" s="133">
        <f t="shared" si="19"/>
        <v>0</v>
      </c>
      <c r="BN22" s="133">
        <f t="shared" si="20"/>
        <v>0</v>
      </c>
      <c r="BO22" s="133">
        <f t="shared" si="21"/>
        <v>0</v>
      </c>
      <c r="BP22" s="133">
        <f t="shared" si="22"/>
        <v>0</v>
      </c>
      <c r="BR22" s="815"/>
    </row>
    <row r="23" spans="1:70" ht="32.25" customHeight="1" thickBot="1" x14ac:dyDescent="0.3">
      <c r="A23" s="64">
        <v>6</v>
      </c>
      <c r="B23" s="60" t="s">
        <v>103</v>
      </c>
      <c r="C23" s="27" t="s">
        <v>211</v>
      </c>
      <c r="D23" s="27" t="s">
        <v>114</v>
      </c>
      <c r="E23" s="27" t="str">
        <f t="shared" si="31"/>
        <v>Private Cars_Operating Cost Savings_External</v>
      </c>
      <c r="F23" s="27" t="str">
        <f t="shared" si="4"/>
        <v>Private Cars_External</v>
      </c>
      <c r="G23" s="37" t="s">
        <v>570</v>
      </c>
      <c r="H23" s="331" t="str">
        <f t="shared" si="5"/>
        <v>Private Cars_External_Ignore</v>
      </c>
      <c r="I23" s="331">
        <v>18</v>
      </c>
      <c r="J23" s="4">
        <f t="shared" si="6"/>
        <v>0</v>
      </c>
      <c r="K23" s="27"/>
      <c r="L23" s="104">
        <f>- L$17*CALC_Current_option!$D64*L$4</f>
        <v>0</v>
      </c>
      <c r="M23" s="105">
        <f>- M$17*CALC_Current_option!$D64*M$4</f>
        <v>0</v>
      </c>
      <c r="N23" s="30">
        <f>- N$17*CALC_Current_option!$D64*N$4</f>
        <v>0</v>
      </c>
      <c r="O23" s="30">
        <f>- O$17*CALC_Current_option!$D64*O$4</f>
        <v>0</v>
      </c>
      <c r="P23" s="30">
        <f>- P$17*CALC_Current_option!$D64*P$4</f>
        <v>0</v>
      </c>
      <c r="Q23" s="103">
        <f>- Q$17*CALC_Current_option!$D64*Q$4</f>
        <v>0</v>
      </c>
      <c r="R23" s="30"/>
      <c r="S23" s="62">
        <f t="shared" si="29"/>
        <v>0</v>
      </c>
      <c r="T23" s="67">
        <f t="shared" si="62"/>
        <v>0</v>
      </c>
      <c r="U23" s="62"/>
      <c r="W23" s="13"/>
      <c r="X23" s="14"/>
      <c r="Y23" s="14"/>
      <c r="Z23" s="14"/>
      <c r="AA23" s="14"/>
      <c r="AB23" s="14"/>
      <c r="AC23" s="14"/>
      <c r="AD23" s="655">
        <v>1</v>
      </c>
      <c r="AE23" s="32"/>
      <c r="AF23" s="32"/>
      <c r="AH23" s="284">
        <f t="shared" si="25"/>
        <v>18</v>
      </c>
      <c r="AI23" s="90">
        <f t="shared" si="63"/>
        <v>0</v>
      </c>
      <c r="AJ23" s="91">
        <f t="shared" si="63"/>
        <v>0</v>
      </c>
      <c r="AK23" s="91">
        <f t="shared" si="63"/>
        <v>0</v>
      </c>
      <c r="AL23" s="91">
        <f t="shared" si="63"/>
        <v>0</v>
      </c>
      <c r="AM23" s="91">
        <f t="shared" si="63"/>
        <v>0</v>
      </c>
      <c r="AN23" s="91">
        <f t="shared" si="63"/>
        <v>0</v>
      </c>
      <c r="AO23" s="91">
        <f t="shared" si="63"/>
        <v>0</v>
      </c>
      <c r="AP23" s="50">
        <f t="shared" si="63"/>
        <v>0</v>
      </c>
      <c r="AQ23" s="770"/>
      <c r="AR23" s="4">
        <f t="shared" si="26"/>
        <v>0</v>
      </c>
      <c r="AT23" s="4"/>
      <c r="AV23" s="131">
        <f t="shared" si="27"/>
        <v>0</v>
      </c>
      <c r="AW23" s="100">
        <f t="shared" si="8"/>
        <v>0</v>
      </c>
      <c r="AX23" s="100">
        <f t="shared" si="9"/>
        <v>0</v>
      </c>
      <c r="AY23" s="100">
        <f t="shared" si="10"/>
        <v>0</v>
      </c>
      <c r="AZ23" s="100">
        <f t="shared" si="11"/>
        <v>0</v>
      </c>
      <c r="BA23" s="100">
        <f t="shared" si="12"/>
        <v>0</v>
      </c>
      <c r="BB23" s="100">
        <f t="shared" si="13"/>
        <v>0</v>
      </c>
      <c r="BC23" s="689">
        <f t="shared" si="14"/>
        <v>0</v>
      </c>
      <c r="BE23" s="96">
        <f t="shared" si="15"/>
        <v>0</v>
      </c>
      <c r="BG23" t="str">
        <f t="shared" si="61"/>
        <v>Private Cars_Operating Cost Savings_External</v>
      </c>
      <c r="BJ23" s="133">
        <f t="shared" si="28"/>
        <v>0</v>
      </c>
      <c r="BK23" s="133">
        <f t="shared" si="17"/>
        <v>0</v>
      </c>
      <c r="BL23" s="133">
        <f t="shared" si="18"/>
        <v>0</v>
      </c>
      <c r="BM23" s="133">
        <f t="shared" si="19"/>
        <v>0</v>
      </c>
      <c r="BN23" s="133">
        <f t="shared" si="20"/>
        <v>0</v>
      </c>
      <c r="BO23" s="133">
        <f t="shared" si="21"/>
        <v>0</v>
      </c>
      <c r="BP23" s="133">
        <f t="shared" si="22"/>
        <v>0</v>
      </c>
      <c r="BR23" s="815"/>
    </row>
    <row r="24" spans="1:70" ht="32.25" customHeight="1" x14ac:dyDescent="0.25">
      <c r="A24" s="516">
        <v>7</v>
      </c>
      <c r="B24" s="60" t="s">
        <v>103</v>
      </c>
      <c r="C24" s="27" t="s">
        <v>347</v>
      </c>
      <c r="D24" s="27" t="s">
        <v>37</v>
      </c>
      <c r="E24" s="27" t="str">
        <f t="shared" si="31"/>
        <v>Private Cars_Paying the charge_SCC</v>
      </c>
      <c r="F24" s="27"/>
      <c r="G24" s="37" t="s">
        <v>570</v>
      </c>
      <c r="H24" s="331" t="str">
        <f t="shared" si="5"/>
        <v>Private Cars_SCC_Ignore</v>
      </c>
      <c r="I24" s="331">
        <v>19</v>
      </c>
      <c r="J24" s="4">
        <f t="shared" si="6"/>
        <v>0</v>
      </c>
      <c r="K24" s="27"/>
      <c r="L24" s="30"/>
      <c r="M24" s="30"/>
      <c r="N24" s="317">
        <f>CALC_Current_option!$C78*N$4</f>
        <v>0</v>
      </c>
      <c r="O24" s="318">
        <f>CALC_Current_option!$C78*O$4</f>
        <v>0</v>
      </c>
      <c r="P24" s="318">
        <f>CALC_Current_option!$C78*P$4</f>
        <v>0</v>
      </c>
      <c r="Q24" s="319">
        <f>CALC_Current_option!$C78*Q$4</f>
        <v>0</v>
      </c>
      <c r="R24" s="60"/>
      <c r="S24" s="62">
        <f t="shared" ref="S24:S26" si="64">SUM(L24:R24)</f>
        <v>0</v>
      </c>
      <c r="T24" s="67">
        <f t="shared" ref="T24:T26" si="65">SUMPRODUCT(L24:R24,$L$3:$R$3)</f>
        <v>0</v>
      </c>
      <c r="U24" s="62"/>
      <c r="W24" s="13"/>
      <c r="X24" s="14"/>
      <c r="Y24" s="14"/>
      <c r="Z24" s="14"/>
      <c r="AA24" s="14"/>
      <c r="AB24" s="14"/>
      <c r="AC24" s="14"/>
      <c r="AD24" s="655">
        <v>1</v>
      </c>
      <c r="AE24" s="32"/>
      <c r="AF24" s="32"/>
      <c r="AH24" s="284">
        <f t="shared" si="25"/>
        <v>19</v>
      </c>
      <c r="AI24" s="90">
        <f t="shared" ref="AI24:AI26" si="66">$S24*W24</f>
        <v>0</v>
      </c>
      <c r="AJ24" s="91">
        <f t="shared" ref="AJ24:AJ26" si="67">$S24*X24</f>
        <v>0</v>
      </c>
      <c r="AK24" s="91">
        <f t="shared" ref="AK24:AK26" si="68">$S24*Y24</f>
        <v>0</v>
      </c>
      <c r="AL24" s="91">
        <f t="shared" ref="AL24:AL26" si="69">$S24*Z24</f>
        <v>0</v>
      </c>
      <c r="AM24" s="91">
        <f t="shared" ref="AM24:AM26" si="70">$S24*AA24</f>
        <v>0</v>
      </c>
      <c r="AN24" s="91">
        <f t="shared" ref="AN24:AN26" si="71">$S24*AB24</f>
        <v>0</v>
      </c>
      <c r="AO24" s="91">
        <f t="shared" ref="AO24:AO26" si="72">$S24*AC24</f>
        <v>0</v>
      </c>
      <c r="AP24" s="50">
        <f t="shared" ref="AP24:AP26" si="73">$S24*AD24</f>
        <v>0</v>
      </c>
      <c r="AQ24" s="770"/>
      <c r="AR24" s="4">
        <f t="shared" ref="AR24:AR26" si="74">SUM(AI24:AP24)</f>
        <v>0</v>
      </c>
      <c r="AT24" s="4"/>
      <c r="AV24" s="131">
        <f t="shared" ref="AV24:AV26" si="75">$T24*W24</f>
        <v>0</v>
      </c>
      <c r="AW24" s="100">
        <f t="shared" ref="AW24:AW26" si="76">$T24*X24</f>
        <v>0</v>
      </c>
      <c r="AX24" s="100">
        <f t="shared" ref="AX24:AX26" si="77">$T24*Y24</f>
        <v>0</v>
      </c>
      <c r="AY24" s="100">
        <f t="shared" ref="AY24:AY26" si="78">$T24*Z24</f>
        <v>0</v>
      </c>
      <c r="AZ24" s="100">
        <f t="shared" ref="AZ24:AZ26" si="79">$T24*AA24</f>
        <v>0</v>
      </c>
      <c r="BA24" s="100">
        <f t="shared" ref="BA24:BA26" si="80">$T24*AB24</f>
        <v>0</v>
      </c>
      <c r="BB24" s="100">
        <f t="shared" ref="BB24:BB26" si="81">$T24*AC24</f>
        <v>0</v>
      </c>
      <c r="BC24" s="689">
        <f t="shared" ref="BC24:BC26" si="82">$T24*AD24</f>
        <v>0</v>
      </c>
      <c r="BE24" s="96">
        <f t="shared" si="15"/>
        <v>0</v>
      </c>
      <c r="BG24" t="str">
        <f t="shared" si="61"/>
        <v>Private Cars_Paying the charge_SCC</v>
      </c>
      <c r="BJ24" s="133">
        <f t="shared" si="28"/>
        <v>0</v>
      </c>
      <c r="BK24" s="133">
        <f t="shared" si="17"/>
        <v>0</v>
      </c>
      <c r="BL24" s="133">
        <f t="shared" si="18"/>
        <v>0</v>
      </c>
      <c r="BM24" s="133">
        <f t="shared" si="19"/>
        <v>0</v>
      </c>
      <c r="BN24" s="133">
        <f t="shared" si="20"/>
        <v>0</v>
      </c>
      <c r="BO24" s="133">
        <f t="shared" si="21"/>
        <v>0</v>
      </c>
      <c r="BP24" s="133">
        <f t="shared" si="22"/>
        <v>0</v>
      </c>
      <c r="BR24" s="815"/>
    </row>
    <row r="25" spans="1:70" ht="32.25" customHeight="1" x14ac:dyDescent="0.25">
      <c r="A25" s="516">
        <v>8</v>
      </c>
      <c r="B25" s="60" t="s">
        <v>103</v>
      </c>
      <c r="C25" s="27" t="s">
        <v>347</v>
      </c>
      <c r="D25" s="27" t="s">
        <v>38</v>
      </c>
      <c r="E25" s="27" t="str">
        <f t="shared" si="31"/>
        <v>Private Cars_Paying the charge_RMBC</v>
      </c>
      <c r="F25" s="27"/>
      <c r="G25" s="37" t="s">
        <v>570</v>
      </c>
      <c r="H25" s="331" t="str">
        <f t="shared" si="5"/>
        <v>Private Cars_RMBC_Ignore</v>
      </c>
      <c r="I25" s="331">
        <v>20</v>
      </c>
      <c r="J25" s="4">
        <f t="shared" si="6"/>
        <v>0</v>
      </c>
      <c r="K25" s="27"/>
      <c r="L25" s="30"/>
      <c r="M25" s="30"/>
      <c r="N25" s="320">
        <f>CALC_Current_option!$C79*N$4</f>
        <v>0</v>
      </c>
      <c r="O25" s="186">
        <f>CALC_Current_option!$C79*O$4</f>
        <v>0</v>
      </c>
      <c r="P25" s="186">
        <f>CALC_Current_option!$C79*P$4</f>
        <v>0</v>
      </c>
      <c r="Q25" s="321">
        <f>CALC_Current_option!$C79*Q$4</f>
        <v>0</v>
      </c>
      <c r="R25" s="60"/>
      <c r="S25" s="62">
        <f t="shared" si="64"/>
        <v>0</v>
      </c>
      <c r="T25" s="67">
        <f t="shared" si="65"/>
        <v>0</v>
      </c>
      <c r="U25" s="62"/>
      <c r="W25" s="13"/>
      <c r="X25" s="14"/>
      <c r="Y25" s="14"/>
      <c r="Z25" s="14"/>
      <c r="AA25" s="14"/>
      <c r="AB25" s="14"/>
      <c r="AC25" s="14"/>
      <c r="AD25" s="655">
        <v>1</v>
      </c>
      <c r="AE25" s="32"/>
      <c r="AF25" s="32"/>
      <c r="AH25" s="284">
        <f t="shared" si="25"/>
        <v>20</v>
      </c>
      <c r="AI25" s="90">
        <f t="shared" si="66"/>
        <v>0</v>
      </c>
      <c r="AJ25" s="91">
        <f t="shared" si="67"/>
        <v>0</v>
      </c>
      <c r="AK25" s="91">
        <f t="shared" si="68"/>
        <v>0</v>
      </c>
      <c r="AL25" s="91">
        <f t="shared" si="69"/>
        <v>0</v>
      </c>
      <c r="AM25" s="91">
        <f t="shared" si="70"/>
        <v>0</v>
      </c>
      <c r="AN25" s="91">
        <f t="shared" si="71"/>
        <v>0</v>
      </c>
      <c r="AO25" s="91">
        <f t="shared" si="72"/>
        <v>0</v>
      </c>
      <c r="AP25" s="50">
        <f t="shared" si="73"/>
        <v>0</v>
      </c>
      <c r="AQ25" s="770"/>
      <c r="AR25" s="4">
        <f t="shared" si="74"/>
        <v>0</v>
      </c>
      <c r="AT25" s="4"/>
      <c r="AV25" s="131">
        <f t="shared" si="75"/>
        <v>0</v>
      </c>
      <c r="AW25" s="100">
        <f t="shared" si="76"/>
        <v>0</v>
      </c>
      <c r="AX25" s="100">
        <f t="shared" si="77"/>
        <v>0</v>
      </c>
      <c r="AY25" s="100">
        <f t="shared" si="78"/>
        <v>0</v>
      </c>
      <c r="AZ25" s="100">
        <f t="shared" si="79"/>
        <v>0</v>
      </c>
      <c r="BA25" s="100">
        <f t="shared" si="80"/>
        <v>0</v>
      </c>
      <c r="BB25" s="100">
        <f t="shared" si="81"/>
        <v>0</v>
      </c>
      <c r="BC25" s="689">
        <f t="shared" si="82"/>
        <v>0</v>
      </c>
      <c r="BE25" s="96">
        <f t="shared" si="15"/>
        <v>0</v>
      </c>
      <c r="BG25" t="str">
        <f t="shared" si="61"/>
        <v>Private Cars_Paying the charge_RMBC</v>
      </c>
      <c r="BJ25" s="133">
        <f t="shared" si="28"/>
        <v>0</v>
      </c>
      <c r="BK25" s="133">
        <f t="shared" si="17"/>
        <v>0</v>
      </c>
      <c r="BL25" s="133">
        <f t="shared" si="18"/>
        <v>0</v>
      </c>
      <c r="BM25" s="133">
        <f t="shared" si="19"/>
        <v>0</v>
      </c>
      <c r="BN25" s="133">
        <f t="shared" si="20"/>
        <v>0</v>
      </c>
      <c r="BO25" s="133">
        <f t="shared" si="21"/>
        <v>0</v>
      </c>
      <c r="BP25" s="133">
        <f t="shared" si="22"/>
        <v>0</v>
      </c>
      <c r="BR25" s="815"/>
    </row>
    <row r="26" spans="1:70" ht="32.25" customHeight="1" thickBot="1" x14ac:dyDescent="0.3">
      <c r="A26" s="516">
        <v>9</v>
      </c>
      <c r="B26" s="60" t="s">
        <v>103</v>
      </c>
      <c r="C26" s="27" t="s">
        <v>347</v>
      </c>
      <c r="D26" s="27" t="s">
        <v>114</v>
      </c>
      <c r="E26" s="27" t="str">
        <f t="shared" si="31"/>
        <v>Private Cars_Paying the charge_External</v>
      </c>
      <c r="F26" s="27"/>
      <c r="G26" s="37" t="s">
        <v>570</v>
      </c>
      <c r="H26" s="331" t="str">
        <f t="shared" si="5"/>
        <v>Private Cars_External_Ignore</v>
      </c>
      <c r="I26" s="331">
        <v>21</v>
      </c>
      <c r="J26" s="4">
        <f t="shared" si="6"/>
        <v>0</v>
      </c>
      <c r="K26" s="27"/>
      <c r="L26" s="30"/>
      <c r="M26" s="30"/>
      <c r="N26" s="322">
        <f>CALC_Current_option!$C80*N$4</f>
        <v>0</v>
      </c>
      <c r="O26" s="323">
        <f>CALC_Current_option!$C80*O$4</f>
        <v>0</v>
      </c>
      <c r="P26" s="323">
        <f>CALC_Current_option!$C80*P$4</f>
        <v>0</v>
      </c>
      <c r="Q26" s="324">
        <f>CALC_Current_option!$C80*Q$4</f>
        <v>0</v>
      </c>
      <c r="R26" s="60"/>
      <c r="S26" s="62">
        <f t="shared" si="64"/>
        <v>0</v>
      </c>
      <c r="T26" s="67">
        <f t="shared" si="65"/>
        <v>0</v>
      </c>
      <c r="U26" s="62"/>
      <c r="W26" s="13"/>
      <c r="X26" s="14"/>
      <c r="Y26" s="14"/>
      <c r="Z26" s="14"/>
      <c r="AA26" s="14"/>
      <c r="AB26" s="14"/>
      <c r="AC26" s="14"/>
      <c r="AD26" s="655">
        <v>1</v>
      </c>
      <c r="AE26" s="32"/>
      <c r="AF26" s="32"/>
      <c r="AH26" s="284">
        <f t="shared" si="25"/>
        <v>21</v>
      </c>
      <c r="AI26" s="90">
        <f t="shared" si="66"/>
        <v>0</v>
      </c>
      <c r="AJ26" s="91">
        <f t="shared" si="67"/>
        <v>0</v>
      </c>
      <c r="AK26" s="91">
        <f t="shared" si="68"/>
        <v>0</v>
      </c>
      <c r="AL26" s="91">
        <f t="shared" si="69"/>
        <v>0</v>
      </c>
      <c r="AM26" s="91">
        <f t="shared" si="70"/>
        <v>0</v>
      </c>
      <c r="AN26" s="91">
        <f t="shared" si="71"/>
        <v>0</v>
      </c>
      <c r="AO26" s="91">
        <f t="shared" si="72"/>
        <v>0</v>
      </c>
      <c r="AP26" s="50">
        <f t="shared" si="73"/>
        <v>0</v>
      </c>
      <c r="AQ26" s="770"/>
      <c r="AR26" s="4">
        <f t="shared" si="74"/>
        <v>0</v>
      </c>
      <c r="AT26" s="4"/>
      <c r="AV26" s="131">
        <f t="shared" si="75"/>
        <v>0</v>
      </c>
      <c r="AW26" s="100">
        <f t="shared" si="76"/>
        <v>0</v>
      </c>
      <c r="AX26" s="100">
        <f t="shared" si="77"/>
        <v>0</v>
      </c>
      <c r="AY26" s="100">
        <f t="shared" si="78"/>
        <v>0</v>
      </c>
      <c r="AZ26" s="100">
        <f t="shared" si="79"/>
        <v>0</v>
      </c>
      <c r="BA26" s="100">
        <f t="shared" si="80"/>
        <v>0</v>
      </c>
      <c r="BB26" s="100">
        <f t="shared" si="81"/>
        <v>0</v>
      </c>
      <c r="BC26" s="689">
        <f t="shared" si="82"/>
        <v>0</v>
      </c>
      <c r="BE26" s="96">
        <f t="shared" si="15"/>
        <v>0</v>
      </c>
      <c r="BG26" t="str">
        <f t="shared" si="61"/>
        <v>Private Cars_Paying the charge_External</v>
      </c>
      <c r="BJ26" s="133">
        <f t="shared" si="28"/>
        <v>0</v>
      </c>
      <c r="BK26" s="133">
        <f t="shared" si="17"/>
        <v>0</v>
      </c>
      <c r="BL26" s="133">
        <f t="shared" si="18"/>
        <v>0</v>
      </c>
      <c r="BM26" s="133">
        <f t="shared" si="19"/>
        <v>0</v>
      </c>
      <c r="BN26" s="133">
        <f t="shared" si="20"/>
        <v>0</v>
      </c>
      <c r="BO26" s="133">
        <f t="shared" si="21"/>
        <v>0</v>
      </c>
      <c r="BP26" s="133">
        <f t="shared" si="22"/>
        <v>0</v>
      </c>
      <c r="BR26" s="815"/>
    </row>
    <row r="27" spans="1:70" ht="15" customHeight="1" x14ac:dyDescent="0.25">
      <c r="A27" s="64"/>
      <c r="B27" s="60"/>
      <c r="C27" s="27"/>
      <c r="D27" s="27"/>
      <c r="E27" s="27"/>
      <c r="F27" s="27"/>
      <c r="G27" s="23"/>
      <c r="H27" s="331"/>
      <c r="I27" s="331">
        <v>22</v>
      </c>
      <c r="J27" s="4">
        <f t="shared" si="6"/>
        <v>0</v>
      </c>
      <c r="K27" s="27"/>
      <c r="L27" s="60"/>
      <c r="M27" s="60"/>
      <c r="N27" s="60"/>
      <c r="O27" s="62"/>
      <c r="P27" s="62"/>
      <c r="Q27" s="62"/>
      <c r="R27" s="62"/>
      <c r="S27" s="62"/>
      <c r="T27" s="67"/>
      <c r="U27" s="62"/>
      <c r="W27" s="33"/>
      <c r="X27" s="34"/>
      <c r="Y27" s="34"/>
      <c r="Z27" s="34"/>
      <c r="AA27" s="34"/>
      <c r="AB27" s="34"/>
      <c r="AC27" s="34"/>
      <c r="AD27" s="35"/>
      <c r="AE27" s="32"/>
      <c r="AF27" s="32"/>
      <c r="AH27" s="284">
        <f t="shared" si="25"/>
        <v>22</v>
      </c>
      <c r="AI27" s="90"/>
      <c r="AJ27" s="91"/>
      <c r="AK27" s="91"/>
      <c r="AL27" s="91"/>
      <c r="AM27" s="91"/>
      <c r="AN27" s="91"/>
      <c r="AO27" s="91"/>
      <c r="AP27" s="50"/>
      <c r="AQ27" s="770"/>
      <c r="AR27" s="4"/>
      <c r="AT27" s="4"/>
      <c r="AV27" s="131">
        <f t="shared" si="27"/>
        <v>0</v>
      </c>
      <c r="AW27" s="100">
        <f t="shared" si="8"/>
        <v>0</v>
      </c>
      <c r="AX27" s="100">
        <f t="shared" si="9"/>
        <v>0</v>
      </c>
      <c r="AY27" s="100">
        <f t="shared" si="10"/>
        <v>0</v>
      </c>
      <c r="AZ27" s="100">
        <f t="shared" si="11"/>
        <v>0</v>
      </c>
      <c r="BA27" s="100">
        <f t="shared" si="12"/>
        <v>0</v>
      </c>
      <c r="BB27" s="100">
        <f t="shared" si="13"/>
        <v>0</v>
      </c>
      <c r="BC27" s="689">
        <f t="shared" si="14"/>
        <v>0</v>
      </c>
      <c r="BE27" s="96">
        <f t="shared" si="15"/>
        <v>0</v>
      </c>
      <c r="BJ27" s="133"/>
      <c r="BK27" s="133"/>
      <c r="BL27" s="133"/>
      <c r="BM27" s="133"/>
      <c r="BN27" s="133"/>
      <c r="BO27" s="133"/>
      <c r="BP27" s="133"/>
      <c r="BR27" s="815"/>
    </row>
    <row r="28" spans="1:70" ht="15.75" thickBot="1" x14ac:dyDescent="0.3">
      <c r="A28" s="64">
        <v>1</v>
      </c>
      <c r="B28" s="60" t="s">
        <v>4</v>
      </c>
      <c r="C28" s="27" t="str">
        <f>CALC_Current_option!B84</f>
        <v>Electric taxis for SCC (EMF)</v>
      </c>
      <c r="D28" s="27" t="s">
        <v>37</v>
      </c>
      <c r="E28" s="27" t="str">
        <f t="shared" si="31"/>
        <v>Taxis_Electric taxis for SCC (EMF)_SCC</v>
      </c>
      <c r="F28" s="27" t="str">
        <f t="shared" si="4"/>
        <v>Taxis_SCC</v>
      </c>
      <c r="G28" s="37" t="s">
        <v>523</v>
      </c>
      <c r="H28" s="331" t="str">
        <f t="shared" si="5"/>
        <v>Taxis_SCC_capex</v>
      </c>
      <c r="I28" s="331">
        <v>23</v>
      </c>
      <c r="J28" s="4">
        <f t="shared" si="6"/>
        <v>485000</v>
      </c>
      <c r="K28" s="27"/>
      <c r="L28" s="30">
        <f>CALC_Current_option!C84</f>
        <v>485000</v>
      </c>
      <c r="M28" s="121"/>
      <c r="N28" s="121"/>
      <c r="O28" s="62"/>
      <c r="P28" s="62"/>
      <c r="Q28" s="62"/>
      <c r="R28" s="62"/>
      <c r="S28" s="62">
        <f t="shared" si="29"/>
        <v>485000</v>
      </c>
      <c r="T28" s="67">
        <f>SUMPRODUCT(L28:R28,$L$3:$R$3)</f>
        <v>485000</v>
      </c>
      <c r="U28" s="62"/>
      <c r="W28" s="656">
        <v>1</v>
      </c>
      <c r="X28" s="14">
        <v>0</v>
      </c>
      <c r="Y28" s="14"/>
      <c r="Z28" s="14"/>
      <c r="AA28" s="14"/>
      <c r="AB28" s="14"/>
      <c r="AC28" s="14"/>
      <c r="AD28" s="15"/>
      <c r="AE28" s="32"/>
      <c r="AF28" s="32"/>
      <c r="AH28" s="284">
        <f t="shared" si="25"/>
        <v>23</v>
      </c>
      <c r="AI28" s="90">
        <f t="shared" ref="AI28:AP28" si="83">$S28*W28</f>
        <v>485000</v>
      </c>
      <c r="AJ28" s="91">
        <f t="shared" si="83"/>
        <v>0</v>
      </c>
      <c r="AK28" s="91">
        <f t="shared" si="83"/>
        <v>0</v>
      </c>
      <c r="AL28" s="91">
        <f t="shared" si="83"/>
        <v>0</v>
      </c>
      <c r="AM28" s="91">
        <f t="shared" si="83"/>
        <v>0</v>
      </c>
      <c r="AN28" s="91">
        <f t="shared" si="83"/>
        <v>0</v>
      </c>
      <c r="AO28" s="91">
        <f t="shared" si="83"/>
        <v>0</v>
      </c>
      <c r="AP28" s="50">
        <f t="shared" si="83"/>
        <v>0</v>
      </c>
      <c r="AQ28" s="770"/>
      <c r="AR28" s="4">
        <f t="shared" si="26"/>
        <v>485000</v>
      </c>
      <c r="AT28" s="4"/>
      <c r="AV28" s="132">
        <f t="shared" si="27"/>
        <v>485000</v>
      </c>
      <c r="AW28" s="128">
        <f t="shared" si="8"/>
        <v>0</v>
      </c>
      <c r="AX28" s="128">
        <f t="shared" si="9"/>
        <v>0</v>
      </c>
      <c r="AY28" s="128">
        <f t="shared" si="10"/>
        <v>0</v>
      </c>
      <c r="AZ28" s="128">
        <f t="shared" si="11"/>
        <v>0</v>
      </c>
      <c r="BA28" s="128">
        <f t="shared" si="12"/>
        <v>0</v>
      </c>
      <c r="BB28" s="128">
        <f t="shared" si="13"/>
        <v>0</v>
      </c>
      <c r="BC28" s="690">
        <f t="shared" si="14"/>
        <v>0</v>
      </c>
      <c r="BE28" s="96">
        <f t="shared" si="15"/>
        <v>485000</v>
      </c>
      <c r="BG28" t="str">
        <f>E28</f>
        <v>Taxis_Electric taxis for SCC (EMF)_SCC</v>
      </c>
      <c r="BJ28" s="133">
        <f t="shared" si="28"/>
        <v>0</v>
      </c>
      <c r="BK28" s="133">
        <f t="shared" si="17"/>
        <v>0</v>
      </c>
      <c r="BL28" s="133">
        <f t="shared" si="18"/>
        <v>0</v>
      </c>
      <c r="BM28" s="133">
        <f t="shared" si="19"/>
        <v>0</v>
      </c>
      <c r="BN28" s="133">
        <f t="shared" si="20"/>
        <v>0</v>
      </c>
      <c r="BO28" s="133">
        <f t="shared" si="21"/>
        <v>0</v>
      </c>
      <c r="BP28" s="133">
        <f t="shared" si="22"/>
        <v>0</v>
      </c>
      <c r="BR28" s="815"/>
    </row>
    <row r="29" spans="1:70" ht="15.75" customHeight="1" thickBot="1" x14ac:dyDescent="0.3">
      <c r="A29" s="64"/>
      <c r="B29" s="60"/>
      <c r="C29" s="27"/>
      <c r="D29" s="27"/>
      <c r="G29" s="23"/>
      <c r="H29" s="331"/>
      <c r="I29" s="331">
        <v>24</v>
      </c>
      <c r="J29" s="4"/>
      <c r="K29" s="150">
        <v>0</v>
      </c>
      <c r="L29" s="151">
        <f>INP_Assumptions!C123</f>
        <v>0.25</v>
      </c>
      <c r="M29" s="151">
        <f>INP_Assumptions!D123</f>
        <v>0.5</v>
      </c>
      <c r="N29" s="151">
        <f>INP_Assumptions!E123</f>
        <v>0.25</v>
      </c>
      <c r="O29" s="151">
        <f>INP_Assumptions!F123</f>
        <v>0</v>
      </c>
      <c r="P29" s="151">
        <f>INP_Assumptions!G123</f>
        <v>0</v>
      </c>
      <c r="Q29" s="151">
        <f>INP_Assumptions!H123</f>
        <v>0</v>
      </c>
      <c r="R29" s="62"/>
      <c r="S29" s="62"/>
      <c r="T29" s="67"/>
      <c r="U29" s="62"/>
      <c r="W29" s="33"/>
      <c r="X29" s="34"/>
      <c r="Y29" s="34"/>
      <c r="Z29" s="34"/>
      <c r="AA29" s="34"/>
      <c r="AB29" s="34"/>
      <c r="AC29" s="34"/>
      <c r="AD29" s="35"/>
      <c r="AE29" s="32"/>
      <c r="AF29" s="32"/>
      <c r="AH29" s="284">
        <f t="shared" si="25"/>
        <v>24</v>
      </c>
      <c r="AI29" s="90"/>
      <c r="AJ29" s="91"/>
      <c r="AK29" s="91"/>
      <c r="AL29" s="91"/>
      <c r="AM29" s="91"/>
      <c r="AN29" s="91"/>
      <c r="AO29" s="91"/>
      <c r="AP29" s="50"/>
      <c r="AQ29" s="770"/>
      <c r="AR29" s="4"/>
      <c r="AT29" s="4"/>
      <c r="AV29" s="52"/>
      <c r="AW29" s="52"/>
      <c r="AX29" s="52"/>
      <c r="AY29" s="52"/>
      <c r="AZ29" s="52"/>
      <c r="BA29" s="52"/>
      <c r="BB29" s="52"/>
      <c r="BC29" s="52"/>
      <c r="BE29" s="96"/>
      <c r="BJ29" s="133"/>
      <c r="BK29" s="133"/>
      <c r="BL29" s="133"/>
      <c r="BM29" s="133"/>
      <c r="BN29" s="133"/>
      <c r="BO29" s="133"/>
      <c r="BP29" s="133"/>
      <c r="BR29" s="815"/>
    </row>
    <row r="30" spans="1:70" ht="15.75" customHeight="1" thickBot="1" x14ac:dyDescent="0.3">
      <c r="A30" s="64"/>
      <c r="B30" s="60"/>
      <c r="C30" s="27"/>
      <c r="D30" s="27"/>
      <c r="G30" s="23"/>
      <c r="H30" s="331"/>
      <c r="I30" s="331">
        <v>25</v>
      </c>
      <c r="J30" s="4"/>
      <c r="K30" s="150">
        <v>0</v>
      </c>
      <c r="L30" s="198">
        <f>K30+(K29+L29)/2</f>
        <v>0.125</v>
      </c>
      <c r="M30" s="199">
        <f t="shared" ref="M30:Q30" si="84">L30+(L29+M29)/2</f>
        <v>0.5</v>
      </c>
      <c r="N30" s="199">
        <f t="shared" si="84"/>
        <v>0.875</v>
      </c>
      <c r="O30" s="199">
        <f t="shared" si="84"/>
        <v>1</v>
      </c>
      <c r="P30" s="199">
        <f t="shared" si="84"/>
        <v>1</v>
      </c>
      <c r="Q30" s="200">
        <f t="shared" si="84"/>
        <v>1</v>
      </c>
      <c r="R30" s="62"/>
      <c r="S30" s="62"/>
      <c r="T30" s="67"/>
      <c r="U30" s="62"/>
      <c r="W30" s="33"/>
      <c r="X30" s="34"/>
      <c r="Y30" s="34"/>
      <c r="Z30" s="34"/>
      <c r="AA30" s="34"/>
      <c r="AB30" s="34"/>
      <c r="AC30" s="34"/>
      <c r="AD30" s="35"/>
      <c r="AE30" s="32"/>
      <c r="AF30" s="32"/>
      <c r="AH30" s="284">
        <f t="shared" si="25"/>
        <v>25</v>
      </c>
      <c r="AI30" s="90"/>
      <c r="AJ30" s="91"/>
      <c r="AK30" s="91"/>
      <c r="AL30" s="91"/>
      <c r="AM30" s="91"/>
      <c r="AN30" s="91"/>
      <c r="AO30" s="91"/>
      <c r="AP30" s="50"/>
      <c r="AQ30" s="770"/>
      <c r="AR30" s="4"/>
      <c r="AT30" s="4"/>
      <c r="AV30" s="52"/>
      <c r="AW30" s="52"/>
      <c r="AX30" s="52"/>
      <c r="AY30" s="52"/>
      <c r="AZ30" s="52"/>
      <c r="BA30" s="52"/>
      <c r="BB30" s="52"/>
      <c r="BC30" s="52"/>
      <c r="BE30" s="96"/>
      <c r="BJ30" s="133"/>
      <c r="BK30" s="133"/>
      <c r="BL30" s="133"/>
      <c r="BM30" s="133"/>
      <c r="BN30" s="133"/>
      <c r="BO30" s="133"/>
      <c r="BP30" s="133"/>
      <c r="BR30" s="815"/>
    </row>
    <row r="31" spans="1:70" ht="30" x14ac:dyDescent="0.25">
      <c r="A31" s="64">
        <v>2</v>
      </c>
      <c r="B31" s="60" t="s">
        <v>4</v>
      </c>
      <c r="C31" s="27" t="s">
        <v>5</v>
      </c>
      <c r="D31" s="27" t="s">
        <v>37</v>
      </c>
      <c r="E31" s="27" t="str">
        <f t="shared" si="31"/>
        <v>Taxis_Retrofitting SCC Black cabs to LPG_SCC</v>
      </c>
      <c r="F31" s="27" t="str">
        <f t="shared" si="4"/>
        <v>Taxis_SCC</v>
      </c>
      <c r="G31" s="37" t="s">
        <v>523</v>
      </c>
      <c r="H31" s="331" t="str">
        <f t="shared" si="5"/>
        <v>Taxis_SCC_capex</v>
      </c>
      <c r="I31" s="331">
        <v>26</v>
      </c>
      <c r="J31" s="4">
        <f t="shared" ref="J31:J63" si="85">SUM(AI31:AP31)-AO31-AP31</f>
        <v>1400000</v>
      </c>
      <c r="K31" s="27"/>
      <c r="L31" s="62">
        <f>CALC_Current_option!$C$93*L$29</f>
        <v>350000</v>
      </c>
      <c r="M31" s="62">
        <f>CALC_Current_option!$C$93*M$29</f>
        <v>700000</v>
      </c>
      <c r="N31" s="62">
        <f>CALC_Current_option!$C$93*N$29</f>
        <v>350000</v>
      </c>
      <c r="O31" s="62">
        <f>CALC_Current_option!$C$93*O$29</f>
        <v>0</v>
      </c>
      <c r="P31" s="62">
        <f>CALC_Current_option!$C$93*P$29</f>
        <v>0</v>
      </c>
      <c r="Q31" s="62">
        <f>CALC_Current_option!$C$93*Q$29</f>
        <v>0</v>
      </c>
      <c r="R31" s="62"/>
      <c r="S31" s="62">
        <f t="shared" si="29"/>
        <v>1400000</v>
      </c>
      <c r="T31" s="67">
        <f t="shared" ref="T31:T43" si="86">SUMPRODUCT(L31:R31,$L$3:$R$3)</f>
        <v>1351428.75</v>
      </c>
      <c r="U31" s="62"/>
      <c r="W31" s="13"/>
      <c r="X31" s="14"/>
      <c r="Y31" s="653">
        <v>1</v>
      </c>
      <c r="Z31" s="14"/>
      <c r="AA31" s="14"/>
      <c r="AB31" s="14"/>
      <c r="AC31" s="19">
        <f t="shared" ref="AC31:AC40" si="87">1-SUM(W31:AB31)</f>
        <v>0</v>
      </c>
      <c r="AD31" s="15"/>
      <c r="AE31" s="32"/>
      <c r="AF31" s="32"/>
      <c r="AH31" s="284">
        <f t="shared" si="25"/>
        <v>26</v>
      </c>
      <c r="AI31" s="90">
        <f t="shared" ref="AI31:AP36" si="88">$S31*W31</f>
        <v>0</v>
      </c>
      <c r="AJ31" s="91">
        <f t="shared" si="88"/>
        <v>0</v>
      </c>
      <c r="AK31" s="91">
        <f t="shared" si="88"/>
        <v>1400000</v>
      </c>
      <c r="AL31" s="91">
        <f t="shared" si="88"/>
        <v>0</v>
      </c>
      <c r="AM31" s="91">
        <f t="shared" si="88"/>
        <v>0</v>
      </c>
      <c r="AN31" s="91">
        <f t="shared" si="88"/>
        <v>0</v>
      </c>
      <c r="AO31" s="91">
        <f t="shared" si="88"/>
        <v>0</v>
      </c>
      <c r="AP31" s="50">
        <f t="shared" si="88"/>
        <v>0</v>
      </c>
      <c r="AQ31" s="770"/>
      <c r="AR31" s="4">
        <f t="shared" si="26"/>
        <v>1400000</v>
      </c>
      <c r="AT31" s="4"/>
      <c r="AV31" s="686">
        <f t="shared" si="27"/>
        <v>0</v>
      </c>
      <c r="AW31" s="687">
        <f t="shared" si="8"/>
        <v>0</v>
      </c>
      <c r="AX31" s="687">
        <f t="shared" si="9"/>
        <v>1351428.75</v>
      </c>
      <c r="AY31" s="687">
        <f t="shared" si="10"/>
        <v>0</v>
      </c>
      <c r="AZ31" s="687">
        <f t="shared" si="11"/>
        <v>0</v>
      </c>
      <c r="BA31" s="687">
        <f t="shared" si="12"/>
        <v>0</v>
      </c>
      <c r="BB31" s="687">
        <f t="shared" si="13"/>
        <v>0</v>
      </c>
      <c r="BC31" s="687">
        <f t="shared" si="14"/>
        <v>0</v>
      </c>
      <c r="BE31" s="96">
        <f t="shared" si="15"/>
        <v>1351428.75</v>
      </c>
      <c r="BG31" t="str">
        <f t="shared" ref="BG31:BG43" si="89">E31</f>
        <v>Taxis_Retrofitting SCC Black cabs to LPG_SCC</v>
      </c>
      <c r="BJ31" s="133">
        <f t="shared" si="28"/>
        <v>0</v>
      </c>
      <c r="BK31" s="133">
        <f t="shared" si="17"/>
        <v>0</v>
      </c>
      <c r="BL31" s="133">
        <f t="shared" si="18"/>
        <v>0</v>
      </c>
      <c r="BM31" s="133">
        <f t="shared" si="19"/>
        <v>0</v>
      </c>
      <c r="BN31" s="133">
        <f t="shared" si="20"/>
        <v>0</v>
      </c>
      <c r="BO31" s="133">
        <f t="shared" si="21"/>
        <v>0</v>
      </c>
      <c r="BP31" s="133">
        <f t="shared" si="22"/>
        <v>0</v>
      </c>
      <c r="BR31" s="815"/>
    </row>
    <row r="32" spans="1:70" ht="15" customHeight="1" x14ac:dyDescent="0.25">
      <c r="A32" s="64">
        <v>3</v>
      </c>
      <c r="B32" s="60" t="s">
        <v>4</v>
      </c>
      <c r="C32" s="27" t="s">
        <v>6</v>
      </c>
      <c r="D32" s="27" t="s">
        <v>37</v>
      </c>
      <c r="E32" s="27" t="str">
        <f t="shared" si="31"/>
        <v>Taxis_New ULEV black cabs_SCC</v>
      </c>
      <c r="F32" s="27" t="str">
        <f t="shared" si="4"/>
        <v>Taxis_SCC</v>
      </c>
      <c r="G32" s="37" t="s">
        <v>570</v>
      </c>
      <c r="H32" s="331" t="str">
        <f t="shared" si="5"/>
        <v>Taxis_SCC_Ignore</v>
      </c>
      <c r="I32" s="331">
        <v>27</v>
      </c>
      <c r="J32" s="4">
        <f t="shared" si="85"/>
        <v>0</v>
      </c>
      <c r="K32" s="27"/>
      <c r="L32" s="62">
        <f>CALC_Current_option!$D$93*L$29</f>
        <v>3984750</v>
      </c>
      <c r="M32" s="62">
        <f>CALC_Current_option!$D$93*M$29</f>
        <v>7969500</v>
      </c>
      <c r="N32" s="62">
        <f>CALC_Current_option!$D$93*N$29</f>
        <v>3984750</v>
      </c>
      <c r="O32" s="62">
        <f>CALC_Current_option!$D$93*O$29</f>
        <v>0</v>
      </c>
      <c r="P32" s="62">
        <f>CALC_Current_option!$D$93*P$29</f>
        <v>0</v>
      </c>
      <c r="Q32" s="62">
        <f>CALC_Current_option!$D$93*Q$29</f>
        <v>0</v>
      </c>
      <c r="R32" s="30">
        <f>-CALC_Current_option!C102</f>
        <v>-12600000</v>
      </c>
      <c r="S32" s="62">
        <f t="shared" si="29"/>
        <v>3339000</v>
      </c>
      <c r="T32" s="67">
        <f t="shared" si="86"/>
        <v>5211016.1481166054</v>
      </c>
      <c r="U32" s="62"/>
      <c r="W32" s="13"/>
      <c r="X32" s="14"/>
      <c r="Y32" s="14"/>
      <c r="Z32" s="14"/>
      <c r="AA32" s="14"/>
      <c r="AB32" s="14"/>
      <c r="AC32" s="657">
        <f t="shared" si="87"/>
        <v>1</v>
      </c>
      <c r="AD32" s="15"/>
      <c r="AE32" s="32"/>
      <c r="AF32" s="32"/>
      <c r="AH32" s="284">
        <f t="shared" si="25"/>
        <v>27</v>
      </c>
      <c r="AI32" s="90">
        <f t="shared" si="88"/>
        <v>0</v>
      </c>
      <c r="AJ32" s="91">
        <f t="shared" si="88"/>
        <v>0</v>
      </c>
      <c r="AK32" s="91">
        <f t="shared" si="88"/>
        <v>0</v>
      </c>
      <c r="AL32" s="91">
        <f t="shared" si="88"/>
        <v>0</v>
      </c>
      <c r="AM32" s="91">
        <f t="shared" si="88"/>
        <v>0</v>
      </c>
      <c r="AN32" s="91">
        <f t="shared" si="88"/>
        <v>0</v>
      </c>
      <c r="AO32" s="91">
        <f t="shared" si="88"/>
        <v>3339000</v>
      </c>
      <c r="AP32" s="50">
        <f t="shared" si="88"/>
        <v>0</v>
      </c>
      <c r="AQ32" s="770"/>
      <c r="AR32" s="4">
        <f t="shared" si="26"/>
        <v>3339000</v>
      </c>
      <c r="AT32" s="4"/>
      <c r="AV32" s="131">
        <f t="shared" si="27"/>
        <v>0</v>
      </c>
      <c r="AW32" s="100">
        <f t="shared" si="8"/>
        <v>0</v>
      </c>
      <c r="AX32" s="100">
        <f t="shared" si="9"/>
        <v>0</v>
      </c>
      <c r="AY32" s="100">
        <f t="shared" si="10"/>
        <v>0</v>
      </c>
      <c r="AZ32" s="100">
        <f t="shared" si="11"/>
        <v>0</v>
      </c>
      <c r="BA32" s="100">
        <f t="shared" si="12"/>
        <v>0</v>
      </c>
      <c r="BB32" s="100">
        <f t="shared" si="13"/>
        <v>5211016.1481166054</v>
      </c>
      <c r="BC32" s="100">
        <f t="shared" si="14"/>
        <v>0</v>
      </c>
      <c r="BE32" s="96">
        <f t="shared" si="15"/>
        <v>5211016.1481166054</v>
      </c>
      <c r="BG32" t="str">
        <f t="shared" si="89"/>
        <v>Taxis_New ULEV black cabs_SCC</v>
      </c>
      <c r="BJ32" s="133">
        <f t="shared" si="28"/>
        <v>0</v>
      </c>
      <c r="BK32" s="133">
        <f t="shared" si="17"/>
        <v>0</v>
      </c>
      <c r="BL32" s="133">
        <f t="shared" si="18"/>
        <v>0</v>
      </c>
      <c r="BM32" s="133">
        <f t="shared" si="19"/>
        <v>0</v>
      </c>
      <c r="BN32" s="133">
        <f t="shared" si="20"/>
        <v>0</v>
      </c>
      <c r="BO32" s="133">
        <f t="shared" si="21"/>
        <v>0</v>
      </c>
      <c r="BP32" s="133">
        <f t="shared" si="22"/>
        <v>0</v>
      </c>
      <c r="BR32" s="815"/>
    </row>
    <row r="33" spans="1:70" ht="15" customHeight="1" x14ac:dyDescent="0.25">
      <c r="A33" s="64">
        <v>4</v>
      </c>
      <c r="B33" s="60" t="s">
        <v>4</v>
      </c>
      <c r="C33" s="27" t="s">
        <v>39</v>
      </c>
      <c r="D33" s="27" t="s">
        <v>37</v>
      </c>
      <c r="E33" s="27" t="str">
        <f t="shared" si="31"/>
        <v>Taxis_New ULEV car-based taxis_SCC</v>
      </c>
      <c r="F33" s="27" t="str">
        <f t="shared" si="4"/>
        <v>Taxis_SCC</v>
      </c>
      <c r="G33" s="37" t="s">
        <v>570</v>
      </c>
      <c r="H33" s="331" t="str">
        <f t="shared" si="5"/>
        <v>Taxis_SCC_Ignore</v>
      </c>
      <c r="I33" s="331">
        <v>28</v>
      </c>
      <c r="J33" s="4">
        <f t="shared" si="85"/>
        <v>0</v>
      </c>
      <c r="K33" s="27"/>
      <c r="L33" s="62">
        <f>CALC_Current_option!$C$114 *L$29</f>
        <v>4677750</v>
      </c>
      <c r="M33" s="62">
        <f>CALC_Current_option!$C$114 *M$29</f>
        <v>9355500</v>
      </c>
      <c r="N33" s="62">
        <f>CALC_Current_option!$C$114 *N$29</f>
        <v>4677750</v>
      </c>
      <c r="O33" s="62">
        <f>CALC_Current_option!$C$114 *O$29</f>
        <v>0</v>
      </c>
      <c r="P33" s="62">
        <f>CALC_Current_option!$C$114 *P$29</f>
        <v>0</v>
      </c>
      <c r="Q33" s="62">
        <f>CALC_Current_option!$C$114 *Q$29</f>
        <v>0</v>
      </c>
      <c r="R33" s="30">
        <f>-CALC_Current_option!C139</f>
        <v>-13986000</v>
      </c>
      <c r="S33" s="62">
        <f t="shared" si="29"/>
        <v>4725000</v>
      </c>
      <c r="T33" s="67">
        <f t="shared" si="86"/>
        <v>6767595.0543469302</v>
      </c>
      <c r="U33" s="62"/>
      <c r="W33" s="13"/>
      <c r="X33" s="14"/>
      <c r="Y33" s="14"/>
      <c r="Z33" s="14"/>
      <c r="AA33" s="14"/>
      <c r="AB33" s="14"/>
      <c r="AC33" s="657">
        <f t="shared" si="87"/>
        <v>1</v>
      </c>
      <c r="AD33" s="15"/>
      <c r="AE33" s="32"/>
      <c r="AF33" s="32"/>
      <c r="AH33" s="284">
        <f t="shared" si="25"/>
        <v>28</v>
      </c>
      <c r="AI33" s="90">
        <f t="shared" si="88"/>
        <v>0</v>
      </c>
      <c r="AJ33" s="91">
        <f t="shared" si="88"/>
        <v>0</v>
      </c>
      <c r="AK33" s="91">
        <f t="shared" si="88"/>
        <v>0</v>
      </c>
      <c r="AL33" s="91">
        <f t="shared" si="88"/>
        <v>0</v>
      </c>
      <c r="AM33" s="91">
        <f t="shared" si="88"/>
        <v>0</v>
      </c>
      <c r="AN33" s="91">
        <f t="shared" si="88"/>
        <v>0</v>
      </c>
      <c r="AO33" s="91">
        <f t="shared" si="88"/>
        <v>4725000</v>
      </c>
      <c r="AP33" s="50">
        <f t="shared" si="88"/>
        <v>0</v>
      </c>
      <c r="AQ33" s="770"/>
      <c r="AR33" s="4">
        <f t="shared" si="26"/>
        <v>4725000</v>
      </c>
      <c r="AT33" s="4"/>
      <c r="AV33" s="131">
        <f t="shared" si="27"/>
        <v>0</v>
      </c>
      <c r="AW33" s="100">
        <f t="shared" si="8"/>
        <v>0</v>
      </c>
      <c r="AX33" s="100">
        <f t="shared" si="9"/>
        <v>0</v>
      </c>
      <c r="AY33" s="100">
        <f t="shared" si="10"/>
        <v>0</v>
      </c>
      <c r="AZ33" s="100">
        <f t="shared" si="11"/>
        <v>0</v>
      </c>
      <c r="BA33" s="100">
        <f t="shared" si="12"/>
        <v>0</v>
      </c>
      <c r="BB33" s="100">
        <f t="shared" si="13"/>
        <v>6767595.0543469302</v>
      </c>
      <c r="BC33" s="100">
        <f t="shared" si="14"/>
        <v>0</v>
      </c>
      <c r="BE33" s="96">
        <f t="shared" si="15"/>
        <v>6767595.0543469302</v>
      </c>
      <c r="BG33" t="str">
        <f t="shared" si="89"/>
        <v>Taxis_New ULEV car-based taxis_SCC</v>
      </c>
      <c r="BJ33" s="133">
        <f t="shared" si="28"/>
        <v>0</v>
      </c>
      <c r="BK33" s="133">
        <f t="shared" si="17"/>
        <v>0</v>
      </c>
      <c r="BL33" s="133">
        <f t="shared" si="18"/>
        <v>0</v>
      </c>
      <c r="BM33" s="133">
        <f t="shared" si="19"/>
        <v>0</v>
      </c>
      <c r="BN33" s="133">
        <f t="shared" si="20"/>
        <v>0</v>
      </c>
      <c r="BO33" s="133">
        <f t="shared" si="21"/>
        <v>0</v>
      </c>
      <c r="BP33" s="133">
        <f t="shared" si="22"/>
        <v>0</v>
      </c>
      <c r="BR33" s="815"/>
    </row>
    <row r="34" spans="1:70" ht="15" customHeight="1" x14ac:dyDescent="0.25">
      <c r="A34" s="64">
        <v>5</v>
      </c>
      <c r="B34" s="60" t="s">
        <v>4</v>
      </c>
      <c r="C34" s="27" t="s">
        <v>39</v>
      </c>
      <c r="D34" s="27" t="s">
        <v>38</v>
      </c>
      <c r="E34" s="27" t="str">
        <f t="shared" si="31"/>
        <v>Taxis_New ULEV car-based taxis_RMBC</v>
      </c>
      <c r="F34" s="27" t="str">
        <f t="shared" si="4"/>
        <v>Taxis_RMBC</v>
      </c>
      <c r="G34" s="37" t="s">
        <v>570</v>
      </c>
      <c r="H34" s="331" t="str">
        <f t="shared" si="5"/>
        <v>Taxis_RMBC_Ignore</v>
      </c>
      <c r="I34" s="331">
        <v>29</v>
      </c>
      <c r="J34" s="4">
        <f t="shared" si="85"/>
        <v>0</v>
      </c>
      <c r="K34" s="27"/>
      <c r="L34" s="62">
        <f>CALC_Current_option!$D$114 *L$29</f>
        <v>1153350</v>
      </c>
      <c r="M34" s="62">
        <f>CALC_Current_option!$D$114 *M$29</f>
        <v>2306700</v>
      </c>
      <c r="N34" s="62">
        <f>CALC_Current_option!$D$114 *N$29</f>
        <v>1153350</v>
      </c>
      <c r="O34" s="62">
        <f>CALC_Current_option!$D$114 *O$29</f>
        <v>0</v>
      </c>
      <c r="P34" s="62">
        <f>CALC_Current_option!$D$114 *P$29</f>
        <v>0</v>
      </c>
      <c r="Q34" s="62">
        <f>CALC_Current_option!$D$114 *Q$29</f>
        <v>0</v>
      </c>
      <c r="R34" s="30">
        <f>-CALC_Current_option!C140</f>
        <v>-3448400</v>
      </c>
      <c r="S34" s="62">
        <f t="shared" si="29"/>
        <v>1165000</v>
      </c>
      <c r="T34" s="67">
        <f t="shared" si="86"/>
        <v>1668623.9657807774</v>
      </c>
      <c r="U34" s="62"/>
      <c r="W34" s="13"/>
      <c r="X34" s="14"/>
      <c r="Y34" s="14"/>
      <c r="Z34" s="14"/>
      <c r="AA34" s="14"/>
      <c r="AB34" s="14"/>
      <c r="AC34" s="657">
        <f t="shared" si="87"/>
        <v>1</v>
      </c>
      <c r="AD34" s="15"/>
      <c r="AE34" s="32"/>
      <c r="AF34" s="32"/>
      <c r="AH34" s="284">
        <f t="shared" si="25"/>
        <v>29</v>
      </c>
      <c r="AI34" s="90">
        <f t="shared" si="88"/>
        <v>0</v>
      </c>
      <c r="AJ34" s="91">
        <f t="shared" si="88"/>
        <v>0</v>
      </c>
      <c r="AK34" s="91">
        <f t="shared" si="88"/>
        <v>0</v>
      </c>
      <c r="AL34" s="91">
        <f t="shared" si="88"/>
        <v>0</v>
      </c>
      <c r="AM34" s="91">
        <f t="shared" si="88"/>
        <v>0</v>
      </c>
      <c r="AN34" s="91">
        <f t="shared" si="88"/>
        <v>0</v>
      </c>
      <c r="AO34" s="91">
        <f t="shared" si="88"/>
        <v>1165000</v>
      </c>
      <c r="AP34" s="50">
        <f t="shared" si="88"/>
        <v>0</v>
      </c>
      <c r="AQ34" s="770"/>
      <c r="AR34" s="4">
        <f t="shared" si="26"/>
        <v>1165000</v>
      </c>
      <c r="AT34" s="4"/>
      <c r="AV34" s="131">
        <f t="shared" si="27"/>
        <v>0</v>
      </c>
      <c r="AW34" s="100">
        <f t="shared" si="8"/>
        <v>0</v>
      </c>
      <c r="AX34" s="100">
        <f t="shared" si="9"/>
        <v>0</v>
      </c>
      <c r="AY34" s="100">
        <f t="shared" si="10"/>
        <v>0</v>
      </c>
      <c r="AZ34" s="100">
        <f t="shared" si="11"/>
        <v>0</v>
      </c>
      <c r="BA34" s="100">
        <f t="shared" si="12"/>
        <v>0</v>
      </c>
      <c r="BB34" s="100">
        <f t="shared" si="13"/>
        <v>1668623.9657807774</v>
      </c>
      <c r="BC34" s="100">
        <f t="shared" si="14"/>
        <v>0</v>
      </c>
      <c r="BE34" s="96">
        <f t="shared" si="15"/>
        <v>1668623.9657807774</v>
      </c>
      <c r="BG34" t="str">
        <f t="shared" si="89"/>
        <v>Taxis_New ULEV car-based taxis_RMBC</v>
      </c>
      <c r="BJ34" s="133">
        <f t="shared" si="28"/>
        <v>0</v>
      </c>
      <c r="BK34" s="133">
        <f t="shared" si="17"/>
        <v>0</v>
      </c>
      <c r="BL34" s="133">
        <f t="shared" si="18"/>
        <v>0</v>
      </c>
      <c r="BM34" s="133">
        <f t="shared" si="19"/>
        <v>0</v>
      </c>
      <c r="BN34" s="133">
        <f t="shared" si="20"/>
        <v>0</v>
      </c>
      <c r="BO34" s="133">
        <f t="shared" si="21"/>
        <v>0</v>
      </c>
      <c r="BP34" s="133">
        <f t="shared" si="22"/>
        <v>0</v>
      </c>
      <c r="BR34" s="815"/>
    </row>
    <row r="35" spans="1:70" ht="15" customHeight="1" x14ac:dyDescent="0.25">
      <c r="A35" s="64">
        <v>6</v>
      </c>
      <c r="B35" s="60" t="s">
        <v>4</v>
      </c>
      <c r="C35" s="27" t="s">
        <v>250</v>
      </c>
      <c r="D35" s="27" t="s">
        <v>37</v>
      </c>
      <c r="E35" s="27" t="str">
        <f t="shared" si="31"/>
        <v>Taxis_Charges Paid_SCC</v>
      </c>
      <c r="F35" s="27" t="str">
        <f t="shared" si="4"/>
        <v>Taxis_SCC</v>
      </c>
      <c r="G35" s="37" t="s">
        <v>570</v>
      </c>
      <c r="H35" s="331" t="str">
        <f t="shared" si="5"/>
        <v>Taxis_SCC_Ignore</v>
      </c>
      <c r="I35" s="331">
        <v>30</v>
      </c>
      <c r="J35" s="4">
        <f t="shared" si="85"/>
        <v>0</v>
      </c>
      <c r="K35" s="27"/>
      <c r="L35" s="62"/>
      <c r="M35" s="62"/>
      <c r="N35" s="122">
        <f>(CALC_Current_option!$C$107+CALC_Current_option!$F$135)*N$4</f>
        <v>331200</v>
      </c>
      <c r="O35" s="122">
        <f>(CALC_Current_option!$C$107+CALC_Current_option!$F$135)*O$4</f>
        <v>331200</v>
      </c>
      <c r="P35" s="122">
        <f>(CALC_Current_option!$C$107+CALC_Current_option!$F$135)*P$4</f>
        <v>331200</v>
      </c>
      <c r="Q35" s="122">
        <f>(CALC_Current_option!$C$107+CALC_Current_option!$F$135)*Q$4</f>
        <v>332107.39726027398</v>
      </c>
      <c r="R35" s="30"/>
      <c r="S35" s="62">
        <f t="shared" si="29"/>
        <v>1325707.397260274</v>
      </c>
      <c r="T35" s="67">
        <f t="shared" si="86"/>
        <v>1171175.6977170007</v>
      </c>
      <c r="U35" s="62"/>
      <c r="W35" s="13"/>
      <c r="X35" s="14"/>
      <c r="Y35" s="14"/>
      <c r="Z35" s="14"/>
      <c r="AA35" s="14"/>
      <c r="AB35" s="14"/>
      <c r="AC35" s="657">
        <f t="shared" si="87"/>
        <v>1</v>
      </c>
      <c r="AD35" s="15"/>
      <c r="AE35" s="32"/>
      <c r="AF35" s="32"/>
      <c r="AH35" s="284">
        <f t="shared" si="25"/>
        <v>30</v>
      </c>
      <c r="AI35" s="90">
        <f t="shared" si="88"/>
        <v>0</v>
      </c>
      <c r="AJ35" s="91">
        <f t="shared" si="88"/>
        <v>0</v>
      </c>
      <c r="AK35" s="91">
        <f t="shared" si="88"/>
        <v>0</v>
      </c>
      <c r="AL35" s="91">
        <f t="shared" si="88"/>
        <v>0</v>
      </c>
      <c r="AM35" s="91">
        <f t="shared" si="88"/>
        <v>0</v>
      </c>
      <c r="AN35" s="91">
        <f t="shared" si="88"/>
        <v>0</v>
      </c>
      <c r="AO35" s="91">
        <f t="shared" si="88"/>
        <v>1325707.397260274</v>
      </c>
      <c r="AP35" s="50">
        <f t="shared" si="88"/>
        <v>0</v>
      </c>
      <c r="AQ35" s="770"/>
      <c r="AR35" s="4">
        <f t="shared" si="26"/>
        <v>1325707.397260274</v>
      </c>
      <c r="AT35" s="4"/>
      <c r="AV35" s="131">
        <f t="shared" si="27"/>
        <v>0</v>
      </c>
      <c r="AW35" s="100">
        <f t="shared" si="8"/>
        <v>0</v>
      </c>
      <c r="AX35" s="100">
        <f t="shared" si="9"/>
        <v>0</v>
      </c>
      <c r="AY35" s="100">
        <f t="shared" si="10"/>
        <v>0</v>
      </c>
      <c r="AZ35" s="100">
        <f t="shared" si="11"/>
        <v>0</v>
      </c>
      <c r="BA35" s="100">
        <f t="shared" si="12"/>
        <v>0</v>
      </c>
      <c r="BB35" s="100">
        <f t="shared" si="13"/>
        <v>1171175.6977170007</v>
      </c>
      <c r="BC35" s="100">
        <f t="shared" si="14"/>
        <v>0</v>
      </c>
      <c r="BE35" s="96">
        <f t="shared" si="15"/>
        <v>1171175.6977170007</v>
      </c>
      <c r="BG35" t="str">
        <f t="shared" si="89"/>
        <v>Taxis_Charges Paid_SCC</v>
      </c>
      <c r="BJ35" s="133">
        <f t="shared" si="28"/>
        <v>0</v>
      </c>
      <c r="BK35" s="133">
        <f t="shared" si="17"/>
        <v>0</v>
      </c>
      <c r="BL35" s="133">
        <f t="shared" si="18"/>
        <v>0</v>
      </c>
      <c r="BM35" s="133">
        <f t="shared" si="19"/>
        <v>0</v>
      </c>
      <c r="BN35" s="133">
        <f t="shared" si="20"/>
        <v>0</v>
      </c>
      <c r="BO35" s="133">
        <f t="shared" si="21"/>
        <v>0</v>
      </c>
      <c r="BP35" s="133">
        <f t="shared" si="22"/>
        <v>0</v>
      </c>
      <c r="BR35" s="815"/>
    </row>
    <row r="36" spans="1:70" ht="15" customHeight="1" x14ac:dyDescent="0.25">
      <c r="A36" s="64">
        <v>7</v>
      </c>
      <c r="B36" s="60" t="s">
        <v>4</v>
      </c>
      <c r="C36" s="27" t="s">
        <v>250</v>
      </c>
      <c r="D36" s="27" t="s">
        <v>38</v>
      </c>
      <c r="E36" s="27" t="str">
        <f t="shared" si="31"/>
        <v>Taxis_Charges Paid_RMBC</v>
      </c>
      <c r="F36" s="27" t="str">
        <f t="shared" si="4"/>
        <v>Taxis_RMBC</v>
      </c>
      <c r="G36" s="37" t="s">
        <v>570</v>
      </c>
      <c r="H36" s="331" t="str">
        <f t="shared" si="5"/>
        <v>Taxis_RMBC_Ignore</v>
      </c>
      <c r="I36" s="331">
        <v>31</v>
      </c>
      <c r="J36" s="4">
        <f t="shared" si="85"/>
        <v>0</v>
      </c>
      <c r="K36" s="27"/>
      <c r="L36" s="62"/>
      <c r="M36" s="62"/>
      <c r="N36" s="122">
        <f>CALC_Current_option!$F$136*N$4</f>
        <v>155000</v>
      </c>
      <c r="O36" s="122">
        <f>CALC_Current_option!$F$136*O$4</f>
        <v>155000</v>
      </c>
      <c r="P36" s="122">
        <f>CALC_Current_option!$F$136*P$4</f>
        <v>155000</v>
      </c>
      <c r="Q36" s="122">
        <f>CALC_Current_option!$F$136*Q$4</f>
        <v>155424.65753424659</v>
      </c>
      <c r="R36" s="30"/>
      <c r="S36" s="62">
        <f t="shared" si="29"/>
        <v>620424.65753424657</v>
      </c>
      <c r="T36" s="67">
        <f t="shared" si="86"/>
        <v>548104.56867794425</v>
      </c>
      <c r="U36" s="62"/>
      <c r="W36" s="13"/>
      <c r="X36" s="14"/>
      <c r="Y36" s="14"/>
      <c r="Z36" s="14"/>
      <c r="AA36" s="14"/>
      <c r="AB36" s="14"/>
      <c r="AC36" s="657">
        <f t="shared" si="87"/>
        <v>1</v>
      </c>
      <c r="AD36" s="15"/>
      <c r="AE36" s="32"/>
      <c r="AF36" s="32"/>
      <c r="AH36" s="284">
        <f t="shared" si="25"/>
        <v>31</v>
      </c>
      <c r="AI36" s="90">
        <f t="shared" si="88"/>
        <v>0</v>
      </c>
      <c r="AJ36" s="91">
        <f t="shared" si="88"/>
        <v>0</v>
      </c>
      <c r="AK36" s="91">
        <f t="shared" si="88"/>
        <v>0</v>
      </c>
      <c r="AL36" s="91">
        <f t="shared" si="88"/>
        <v>0</v>
      </c>
      <c r="AM36" s="91">
        <f t="shared" si="88"/>
        <v>0</v>
      </c>
      <c r="AN36" s="91">
        <f t="shared" si="88"/>
        <v>0</v>
      </c>
      <c r="AO36" s="91">
        <f t="shared" si="88"/>
        <v>620424.65753424657</v>
      </c>
      <c r="AP36" s="50">
        <f t="shared" si="88"/>
        <v>0</v>
      </c>
      <c r="AQ36" s="770"/>
      <c r="AR36" s="4">
        <f t="shared" si="26"/>
        <v>620424.65753424657</v>
      </c>
      <c r="AT36" s="4"/>
      <c r="AV36" s="131">
        <f t="shared" si="27"/>
        <v>0</v>
      </c>
      <c r="AW36" s="100">
        <f t="shared" si="8"/>
        <v>0</v>
      </c>
      <c r="AX36" s="100">
        <f t="shared" si="9"/>
        <v>0</v>
      </c>
      <c r="AY36" s="100">
        <f t="shared" si="10"/>
        <v>0</v>
      </c>
      <c r="AZ36" s="100">
        <f t="shared" si="11"/>
        <v>0</v>
      </c>
      <c r="BA36" s="100">
        <f t="shared" si="12"/>
        <v>0</v>
      </c>
      <c r="BB36" s="100">
        <f t="shared" si="13"/>
        <v>548104.56867794425</v>
      </c>
      <c r="BC36" s="100">
        <f t="shared" si="14"/>
        <v>0</v>
      </c>
      <c r="BE36" s="96">
        <f t="shared" si="15"/>
        <v>548104.56867794425</v>
      </c>
      <c r="BG36" t="str">
        <f t="shared" si="89"/>
        <v>Taxis_Charges Paid_RMBC</v>
      </c>
      <c r="BJ36" s="133">
        <f t="shared" si="28"/>
        <v>0</v>
      </c>
      <c r="BK36" s="133">
        <f t="shared" si="17"/>
        <v>0</v>
      </c>
      <c r="BL36" s="133">
        <f t="shared" si="18"/>
        <v>0</v>
      </c>
      <c r="BM36" s="133">
        <f t="shared" si="19"/>
        <v>0</v>
      </c>
      <c r="BN36" s="133">
        <f t="shared" si="20"/>
        <v>0</v>
      </c>
      <c r="BO36" s="133">
        <f t="shared" si="21"/>
        <v>0</v>
      </c>
      <c r="BP36" s="133">
        <f t="shared" si="22"/>
        <v>0</v>
      </c>
      <c r="BR36" s="815"/>
    </row>
    <row r="37" spans="1:70" ht="15" customHeight="1" x14ac:dyDescent="0.25">
      <c r="A37" s="64">
        <v>8</v>
      </c>
      <c r="B37" s="60" t="s">
        <v>4</v>
      </c>
      <c r="C37" s="27" t="s">
        <v>205</v>
      </c>
      <c r="D37" s="27" t="s">
        <v>37</v>
      </c>
      <c r="E37" s="27" t="str">
        <f t="shared" ref="E37" si="90">CONCATENATE(B37,"_",C37,"_",D37)</f>
        <v>Taxis_Taxi Operating Costs_SCC</v>
      </c>
      <c r="F37" s="27" t="str">
        <f t="shared" ref="F37" si="91">CONCATENATE(B37,"_",D37)</f>
        <v>Taxis_SCC</v>
      </c>
      <c r="G37" s="37" t="s">
        <v>570</v>
      </c>
      <c r="H37" s="331" t="str">
        <f t="shared" si="5"/>
        <v>Taxis_SCC_Ignore</v>
      </c>
      <c r="I37" s="331">
        <v>32</v>
      </c>
      <c r="J37" s="4">
        <f t="shared" si="85"/>
        <v>0</v>
      </c>
      <c r="K37" s="27"/>
      <c r="L37" s="122">
        <f>-(CALC_Current_option!$C$99+CALC_Current_option!$C$131)*L$30*L$4</f>
        <v>-677250</v>
      </c>
      <c r="M37" s="122">
        <f>-(CALC_Current_option!$C$99+CALC_Current_option!$C$131)*M$30*M$4</f>
        <v>-2716421.9178082193</v>
      </c>
      <c r="N37" s="122">
        <f>-(CALC_Current_option!$C$99+CALC_Current_option!$C$131)*N$30*N$4</f>
        <v>-4740750</v>
      </c>
      <c r="O37" s="122">
        <f>-(CALC_Current_option!$C$99+CALC_Current_option!$C$131)*O$30*O$4</f>
        <v>-5418000</v>
      </c>
      <c r="P37" s="122">
        <f>-(CALC_Current_option!$C$99+CALC_Current_option!$C$131)*P$30*P$4</f>
        <v>-5418000</v>
      </c>
      <c r="Q37" s="122">
        <f>-(CALC_Current_option!$C$99+CALC_Current_option!$C$131)*Q$30*Q$4</f>
        <v>-5432843.8356164386</v>
      </c>
      <c r="R37" s="30"/>
      <c r="S37" s="62">
        <f t="shared" ref="S37:S38" si="92">SUM(L37:R37)</f>
        <v>-24403265.753424659</v>
      </c>
      <c r="T37" s="67">
        <f t="shared" ref="T37:T38" si="93">SUMPRODUCT(L37:R37,$L$3:$R$3)</f>
        <v>-21826831.813609783</v>
      </c>
      <c r="U37" s="62"/>
      <c r="W37" s="13"/>
      <c r="X37" s="14"/>
      <c r="Y37" s="14"/>
      <c r="Z37" s="14"/>
      <c r="AA37" s="14"/>
      <c r="AB37" s="14"/>
      <c r="AC37" s="657">
        <f t="shared" si="87"/>
        <v>1</v>
      </c>
      <c r="AD37" s="15"/>
      <c r="AE37" s="32"/>
      <c r="AF37" s="32"/>
      <c r="AH37" s="284">
        <f t="shared" si="25"/>
        <v>32</v>
      </c>
      <c r="AI37" s="90">
        <f t="shared" ref="AI37" si="94">$S37*W37</f>
        <v>0</v>
      </c>
      <c r="AJ37" s="91">
        <f t="shared" ref="AJ37" si="95">$S37*X37</f>
        <v>0</v>
      </c>
      <c r="AK37" s="91">
        <f t="shared" ref="AK37" si="96">$S37*Y37</f>
        <v>0</v>
      </c>
      <c r="AL37" s="91">
        <f t="shared" ref="AL37" si="97">$S37*Z37</f>
        <v>0</v>
      </c>
      <c r="AM37" s="91">
        <f t="shared" ref="AM37" si="98">$S37*AA37</f>
        <v>0</v>
      </c>
      <c r="AN37" s="91">
        <f t="shared" ref="AN37" si="99">$S37*AB37</f>
        <v>0</v>
      </c>
      <c r="AO37" s="91">
        <f t="shared" ref="AO37" si="100">$S37*AC37</f>
        <v>-24403265.753424659</v>
      </c>
      <c r="AP37" s="50">
        <f t="shared" ref="AP37" si="101">$S37*AD37</f>
        <v>0</v>
      </c>
      <c r="AQ37" s="770"/>
      <c r="AR37" s="4">
        <f t="shared" ref="AR37" si="102">SUM(AI37:AP37)</f>
        <v>-24403265.753424659</v>
      </c>
      <c r="AT37" s="4"/>
      <c r="AV37" s="131">
        <f t="shared" si="27"/>
        <v>0</v>
      </c>
      <c r="AW37" s="100">
        <f t="shared" si="8"/>
        <v>0</v>
      </c>
      <c r="AX37" s="100">
        <f t="shared" si="9"/>
        <v>0</v>
      </c>
      <c r="AY37" s="100">
        <f t="shared" si="10"/>
        <v>0</v>
      </c>
      <c r="AZ37" s="100">
        <f t="shared" si="11"/>
        <v>0</v>
      </c>
      <c r="BA37" s="100">
        <f t="shared" si="12"/>
        <v>0</v>
      </c>
      <c r="BB37" s="100">
        <f t="shared" si="13"/>
        <v>-21826831.813609783</v>
      </c>
      <c r="BC37" s="100">
        <f t="shared" si="14"/>
        <v>0</v>
      </c>
      <c r="BE37" s="96">
        <f t="shared" si="15"/>
        <v>-21826831.813609783</v>
      </c>
      <c r="BG37" t="str">
        <f t="shared" si="89"/>
        <v>Taxis_Taxi Operating Costs_SCC</v>
      </c>
      <c r="BJ37" s="133">
        <f t="shared" si="28"/>
        <v>0</v>
      </c>
      <c r="BK37" s="133">
        <f t="shared" si="17"/>
        <v>0</v>
      </c>
      <c r="BL37" s="133">
        <f t="shared" si="18"/>
        <v>0</v>
      </c>
      <c r="BM37" s="133">
        <f t="shared" si="19"/>
        <v>0</v>
      </c>
      <c r="BN37" s="133">
        <f t="shared" si="20"/>
        <v>0</v>
      </c>
      <c r="BO37" s="133">
        <f t="shared" si="21"/>
        <v>0</v>
      </c>
      <c r="BP37" s="133">
        <f t="shared" si="22"/>
        <v>0</v>
      </c>
      <c r="BR37" s="815"/>
    </row>
    <row r="38" spans="1:70" ht="15" customHeight="1" x14ac:dyDescent="0.25">
      <c r="A38" s="64">
        <v>9</v>
      </c>
      <c r="B38" s="60" t="s">
        <v>4</v>
      </c>
      <c r="C38" s="27" t="s">
        <v>205</v>
      </c>
      <c r="D38" s="27" t="s">
        <v>38</v>
      </c>
      <c r="E38" s="27" t="str">
        <f t="shared" si="31"/>
        <v>Taxis_Taxi Operating Costs_RMBC</v>
      </c>
      <c r="F38" s="27" t="str">
        <f t="shared" si="4"/>
        <v>Taxis_RMBC</v>
      </c>
      <c r="G38" s="37" t="s">
        <v>570</v>
      </c>
      <c r="H38" s="331" t="str">
        <f t="shared" si="5"/>
        <v>Taxis_RMBC_Ignore</v>
      </c>
      <c r="I38" s="331">
        <v>33</v>
      </c>
      <c r="J38" s="4">
        <f t="shared" si="85"/>
        <v>0</v>
      </c>
      <c r="K38" s="27"/>
      <c r="L38" s="122">
        <f>-CALC_Current_option!$C$132*L$30*L$4</f>
        <v>-87375</v>
      </c>
      <c r="M38" s="122">
        <f>-CALC_Current_option!$C$132*M$30*M$4</f>
        <v>-350457.53424657538</v>
      </c>
      <c r="N38" s="122">
        <f>-CALC_Current_option!$C$132*N$30*N$4</f>
        <v>-611625</v>
      </c>
      <c r="O38" s="122">
        <f>-CALC_Current_option!$C$132*O$30*O$4</f>
        <v>-699000</v>
      </c>
      <c r="P38" s="122">
        <f>-CALC_Current_option!$C$132*P$30*P$4</f>
        <v>-699000</v>
      </c>
      <c r="Q38" s="122">
        <f>-CALC_Current_option!$C$132*Q$30*Q$4</f>
        <v>-700915.06849315076</v>
      </c>
      <c r="R38" s="30"/>
      <c r="S38" s="62">
        <f t="shared" si="92"/>
        <v>-3148372.6027397257</v>
      </c>
      <c r="T38" s="67">
        <f t="shared" si="93"/>
        <v>-2815975.5329850935</v>
      </c>
      <c r="U38" s="62"/>
      <c r="W38" s="13"/>
      <c r="X38" s="14"/>
      <c r="Y38" s="14"/>
      <c r="Z38" s="14"/>
      <c r="AA38" s="14"/>
      <c r="AB38" s="14"/>
      <c r="AC38" s="657">
        <f t="shared" si="87"/>
        <v>1</v>
      </c>
      <c r="AD38" s="15"/>
      <c r="AE38" s="32"/>
      <c r="AF38" s="32"/>
      <c r="AH38" s="284">
        <f t="shared" si="25"/>
        <v>33</v>
      </c>
      <c r="AI38" s="90">
        <f t="shared" ref="AI38:AP39" si="103">$S38*W38</f>
        <v>0</v>
      </c>
      <c r="AJ38" s="91">
        <f t="shared" si="103"/>
        <v>0</v>
      </c>
      <c r="AK38" s="91">
        <f t="shared" si="103"/>
        <v>0</v>
      </c>
      <c r="AL38" s="91">
        <f t="shared" si="103"/>
        <v>0</v>
      </c>
      <c r="AM38" s="91">
        <f t="shared" si="103"/>
        <v>0</v>
      </c>
      <c r="AN38" s="91">
        <f t="shared" si="103"/>
        <v>0</v>
      </c>
      <c r="AO38" s="91">
        <f t="shared" si="103"/>
        <v>-3148372.6027397257</v>
      </c>
      <c r="AP38" s="50">
        <f t="shared" si="103"/>
        <v>0</v>
      </c>
      <c r="AQ38" s="770"/>
      <c r="AR38" s="4">
        <f t="shared" si="26"/>
        <v>-3148372.6027397257</v>
      </c>
      <c r="AT38" s="4"/>
      <c r="AV38" s="131">
        <f t="shared" si="27"/>
        <v>0</v>
      </c>
      <c r="AW38" s="100">
        <f t="shared" si="8"/>
        <v>0</v>
      </c>
      <c r="AX38" s="100">
        <f t="shared" si="9"/>
        <v>0</v>
      </c>
      <c r="AY38" s="100">
        <f t="shared" si="10"/>
        <v>0</v>
      </c>
      <c r="AZ38" s="100">
        <f t="shared" si="11"/>
        <v>0</v>
      </c>
      <c r="BA38" s="100">
        <f t="shared" si="12"/>
        <v>0</v>
      </c>
      <c r="BB38" s="100">
        <f t="shared" si="13"/>
        <v>-2815975.5329850935</v>
      </c>
      <c r="BC38" s="100">
        <f t="shared" si="14"/>
        <v>0</v>
      </c>
      <c r="BE38" s="96">
        <f t="shared" si="15"/>
        <v>-2815975.5329850935</v>
      </c>
      <c r="BG38" t="str">
        <f t="shared" si="89"/>
        <v>Taxis_Taxi Operating Costs_RMBC</v>
      </c>
      <c r="BJ38" s="133">
        <f t="shared" si="28"/>
        <v>0</v>
      </c>
      <c r="BK38" s="133">
        <f t="shared" si="17"/>
        <v>0</v>
      </c>
      <c r="BL38" s="133">
        <f t="shared" si="18"/>
        <v>0</v>
      </c>
      <c r="BM38" s="133">
        <f t="shared" si="19"/>
        <v>0</v>
      </c>
      <c r="BN38" s="133">
        <f t="shared" si="20"/>
        <v>0</v>
      </c>
      <c r="BO38" s="133">
        <f t="shared" si="21"/>
        <v>0</v>
      </c>
      <c r="BP38" s="133">
        <f t="shared" si="22"/>
        <v>0</v>
      </c>
      <c r="BR38" s="815"/>
    </row>
    <row r="39" spans="1:70" ht="30" customHeight="1" x14ac:dyDescent="0.25">
      <c r="A39" s="64">
        <v>10</v>
      </c>
      <c r="B39" s="60" t="s">
        <v>4</v>
      </c>
      <c r="C39" s="27" t="s">
        <v>571</v>
      </c>
      <c r="D39" s="27" t="s">
        <v>37</v>
      </c>
      <c r="E39" s="27" t="str">
        <f>CONCATENATE(B39,"_",C39,"_",D39)</f>
        <v>Taxis_Incentives received by taxi owners_SCC</v>
      </c>
      <c r="F39" s="27" t="str">
        <f t="shared" si="4"/>
        <v>Taxis_SCC</v>
      </c>
      <c r="G39" s="37" t="s">
        <v>570</v>
      </c>
      <c r="H39" s="331" t="str">
        <f t="shared" si="5"/>
        <v>Taxis_SCC_Ignore</v>
      </c>
      <c r="I39" s="331">
        <v>34</v>
      </c>
      <c r="J39" s="4">
        <f t="shared" si="85"/>
        <v>0</v>
      </c>
      <c r="K39" s="27"/>
      <c r="L39" s="62">
        <f>L29*-(CALC_Current_option!$E$127+CALC_Current_option!$E$128)</f>
        <v>-428750</v>
      </c>
      <c r="M39" s="62">
        <f>M29*-(CALC_Current_option!$E$127+CALC_Current_option!$E$128)</f>
        <v>-857500</v>
      </c>
      <c r="N39" s="62">
        <f>N29*-(CALC_Current_option!$E$127+CALC_Current_option!$E$128)</f>
        <v>-428750</v>
      </c>
      <c r="O39" s="62"/>
      <c r="P39" s="62"/>
      <c r="Q39" s="62"/>
      <c r="R39" s="30"/>
      <c r="S39" s="62">
        <f t="shared" si="29"/>
        <v>-1715000</v>
      </c>
      <c r="T39" s="67">
        <f t="shared" si="86"/>
        <v>-1655500.21875</v>
      </c>
      <c r="U39" s="62"/>
      <c r="W39" s="13"/>
      <c r="X39" s="14"/>
      <c r="Y39" s="14"/>
      <c r="Z39" s="14"/>
      <c r="AA39" s="14"/>
      <c r="AB39" s="14"/>
      <c r="AC39" s="657">
        <f t="shared" si="87"/>
        <v>1</v>
      </c>
      <c r="AD39" s="15"/>
      <c r="AE39" s="32"/>
      <c r="AF39" s="32"/>
      <c r="AH39" s="284">
        <f t="shared" si="25"/>
        <v>34</v>
      </c>
      <c r="AI39" s="90">
        <f t="shared" si="103"/>
        <v>0</v>
      </c>
      <c r="AJ39" s="91">
        <f t="shared" si="103"/>
        <v>0</v>
      </c>
      <c r="AK39" s="91">
        <f t="shared" si="103"/>
        <v>0</v>
      </c>
      <c r="AL39" s="91">
        <f t="shared" si="103"/>
        <v>0</v>
      </c>
      <c r="AM39" s="91">
        <f t="shared" si="103"/>
        <v>0</v>
      </c>
      <c r="AN39" s="91">
        <f t="shared" si="103"/>
        <v>0</v>
      </c>
      <c r="AO39" s="91">
        <f t="shared" si="103"/>
        <v>-1715000</v>
      </c>
      <c r="AP39" s="50">
        <f t="shared" si="103"/>
        <v>0</v>
      </c>
      <c r="AQ39" s="770"/>
      <c r="AR39" s="4">
        <f t="shared" si="26"/>
        <v>-1715000</v>
      </c>
      <c r="AT39" s="4"/>
      <c r="AV39" s="131">
        <f t="shared" si="27"/>
        <v>0</v>
      </c>
      <c r="AW39" s="100">
        <f t="shared" si="8"/>
        <v>0</v>
      </c>
      <c r="AX39" s="100">
        <f t="shared" si="9"/>
        <v>0</v>
      </c>
      <c r="AY39" s="100">
        <f t="shared" si="10"/>
        <v>0</v>
      </c>
      <c r="AZ39" s="100">
        <f t="shared" si="11"/>
        <v>0</v>
      </c>
      <c r="BA39" s="100">
        <f t="shared" si="12"/>
        <v>0</v>
      </c>
      <c r="BB39" s="100">
        <f t="shared" si="13"/>
        <v>-1655500.21875</v>
      </c>
      <c r="BC39" s="100">
        <f t="shared" si="14"/>
        <v>0</v>
      </c>
      <c r="BE39" s="96">
        <f t="shared" si="15"/>
        <v>-1655500.21875</v>
      </c>
      <c r="BG39" t="str">
        <f t="shared" si="89"/>
        <v>Taxis_Incentives received by taxi owners_SCC</v>
      </c>
      <c r="BJ39" s="133">
        <f t="shared" si="28"/>
        <v>0</v>
      </c>
      <c r="BK39" s="133">
        <f t="shared" si="17"/>
        <v>0</v>
      </c>
      <c r="BL39" s="133">
        <f t="shared" si="18"/>
        <v>0</v>
      </c>
      <c r="BM39" s="133">
        <f t="shared" si="19"/>
        <v>0</v>
      </c>
      <c r="BN39" s="133">
        <f t="shared" si="20"/>
        <v>0</v>
      </c>
      <c r="BO39" s="133">
        <f t="shared" si="21"/>
        <v>0</v>
      </c>
      <c r="BP39" s="133">
        <f t="shared" si="22"/>
        <v>0</v>
      </c>
      <c r="BR39" s="815"/>
    </row>
    <row r="40" spans="1:70" ht="30" customHeight="1" x14ac:dyDescent="0.25">
      <c r="A40" s="64">
        <v>11</v>
      </c>
      <c r="B40" s="60" t="s">
        <v>4</v>
      </c>
      <c r="C40" s="27" t="s">
        <v>571</v>
      </c>
      <c r="D40" s="27" t="s">
        <v>38</v>
      </c>
      <c r="E40" s="27" t="str">
        <f>CONCATENATE(B40,"_",C40,"_",D40)</f>
        <v>Taxis_Incentives received by taxi owners_RMBC</v>
      </c>
      <c r="F40" s="27" t="str">
        <f t="shared" si="4"/>
        <v>Taxis_RMBC</v>
      </c>
      <c r="G40" s="37" t="s">
        <v>570</v>
      </c>
      <c r="H40" s="331" t="str">
        <f t="shared" si="5"/>
        <v>Taxis_RMBC_Ignore</v>
      </c>
      <c r="I40" s="331">
        <v>35</v>
      </c>
      <c r="J40" s="4">
        <f t="shared" si="85"/>
        <v>0</v>
      </c>
      <c r="K40" s="27"/>
      <c r="L40" s="62">
        <f>L29*-(CALC_Current_option!$E$129)</f>
        <v>-29125</v>
      </c>
      <c r="M40" s="62">
        <f>M29*-(CALC_Current_option!$E$129)</f>
        <v>-58250</v>
      </c>
      <c r="N40" s="62">
        <f>N29*-(CALC_Current_option!$E$129)</f>
        <v>-29125</v>
      </c>
      <c r="O40" s="62"/>
      <c r="P40" s="62"/>
      <c r="Q40" s="62"/>
      <c r="R40" s="30"/>
      <c r="S40" s="62">
        <f t="shared" ref="S40" si="104">SUM(L40:R40)</f>
        <v>-116500</v>
      </c>
      <c r="T40" s="67">
        <f t="shared" ref="T40" si="105">SUMPRODUCT(L40:R40,$L$3:$R$3)</f>
        <v>-112458.17812500001</v>
      </c>
      <c r="U40" s="62"/>
      <c r="W40" s="13"/>
      <c r="X40" s="14"/>
      <c r="Y40" s="14"/>
      <c r="Z40" s="14"/>
      <c r="AA40" s="14"/>
      <c r="AB40" s="14"/>
      <c r="AC40" s="657">
        <f t="shared" si="87"/>
        <v>1</v>
      </c>
      <c r="AD40" s="15"/>
      <c r="AE40" s="32"/>
      <c r="AF40" s="32"/>
      <c r="AH40" s="284">
        <f t="shared" si="25"/>
        <v>35</v>
      </c>
      <c r="AI40" s="90">
        <f t="shared" ref="AI40" si="106">$S40*W40</f>
        <v>0</v>
      </c>
      <c r="AJ40" s="91">
        <f t="shared" ref="AJ40" si="107">$S40*X40</f>
        <v>0</v>
      </c>
      <c r="AK40" s="91">
        <f t="shared" ref="AK40" si="108">$S40*Y40</f>
        <v>0</v>
      </c>
      <c r="AL40" s="91">
        <f t="shared" ref="AL40" si="109">$S40*Z40</f>
        <v>0</v>
      </c>
      <c r="AM40" s="91">
        <f t="shared" ref="AM40" si="110">$S40*AA40</f>
        <v>0</v>
      </c>
      <c r="AN40" s="91">
        <f t="shared" ref="AN40" si="111">$S40*AB40</f>
        <v>0</v>
      </c>
      <c r="AO40" s="91">
        <f t="shared" ref="AO40" si="112">$S40*AC40</f>
        <v>-116500</v>
      </c>
      <c r="AP40" s="50">
        <f t="shared" ref="AP40" si="113">$S40*AD40</f>
        <v>0</v>
      </c>
      <c r="AQ40" s="770"/>
      <c r="AR40" s="4">
        <f t="shared" ref="AR40" si="114">SUM(AI40:AP40)</f>
        <v>-116500</v>
      </c>
      <c r="AT40" s="4"/>
      <c r="AV40" s="131">
        <f t="shared" si="27"/>
        <v>0</v>
      </c>
      <c r="AW40" s="100">
        <f t="shared" si="8"/>
        <v>0</v>
      </c>
      <c r="AX40" s="100">
        <f t="shared" si="9"/>
        <v>0</v>
      </c>
      <c r="AY40" s="100">
        <f t="shared" si="10"/>
        <v>0</v>
      </c>
      <c r="AZ40" s="100">
        <f t="shared" si="11"/>
        <v>0</v>
      </c>
      <c r="BA40" s="100">
        <f t="shared" si="12"/>
        <v>0</v>
      </c>
      <c r="BB40" s="100">
        <f t="shared" si="13"/>
        <v>-112458.17812500001</v>
      </c>
      <c r="BC40" s="100">
        <f t="shared" si="14"/>
        <v>0</v>
      </c>
      <c r="BE40" s="96">
        <f t="shared" si="15"/>
        <v>-112458.17812500001</v>
      </c>
      <c r="BG40" t="str">
        <f t="shared" si="89"/>
        <v>Taxis_Incentives received by taxi owners_RMBC</v>
      </c>
      <c r="BJ40" s="133">
        <f t="shared" si="28"/>
        <v>0</v>
      </c>
      <c r="BK40" s="133">
        <f t="shared" si="17"/>
        <v>0</v>
      </c>
      <c r="BL40" s="133">
        <f t="shared" si="18"/>
        <v>0</v>
      </c>
      <c r="BM40" s="133">
        <f t="shared" si="19"/>
        <v>0</v>
      </c>
      <c r="BN40" s="133">
        <f t="shared" si="20"/>
        <v>0</v>
      </c>
      <c r="BO40" s="133">
        <f t="shared" si="21"/>
        <v>0</v>
      </c>
      <c r="BP40" s="133">
        <f t="shared" si="22"/>
        <v>0</v>
      </c>
      <c r="BR40" s="815"/>
    </row>
    <row r="41" spans="1:70" x14ac:dyDescent="0.25">
      <c r="A41" s="64">
        <v>12</v>
      </c>
      <c r="B41" s="60" t="s">
        <v>4</v>
      </c>
      <c r="C41" s="27" t="s">
        <v>228</v>
      </c>
      <c r="D41" s="27" t="s">
        <v>37</v>
      </c>
      <c r="E41" s="27" t="str">
        <f>CONCATENATE(B41,"_",C41,"_",D41)</f>
        <v>Taxis_Providing incentives to taxis_SCC</v>
      </c>
      <c r="F41" s="27" t="str">
        <f t="shared" si="4"/>
        <v>Taxis_SCC</v>
      </c>
      <c r="G41" s="37" t="s">
        <v>523</v>
      </c>
      <c r="H41" s="331" t="str">
        <f t="shared" si="5"/>
        <v>Taxis_SCC_capex</v>
      </c>
      <c r="I41" s="331">
        <v>36</v>
      </c>
      <c r="J41" s="4">
        <f t="shared" si="85"/>
        <v>1715000</v>
      </c>
      <c r="K41" s="27"/>
      <c r="L41" s="122">
        <f>-L39</f>
        <v>428750</v>
      </c>
      <c r="M41" s="62">
        <f>-M39</f>
        <v>857500</v>
      </c>
      <c r="N41" s="62">
        <f>-N39</f>
        <v>428750</v>
      </c>
      <c r="O41" s="62"/>
      <c r="P41" s="62"/>
      <c r="Q41" s="62"/>
      <c r="R41" s="30"/>
      <c r="S41" s="62">
        <f t="shared" si="29"/>
        <v>1715000</v>
      </c>
      <c r="T41" s="67">
        <f t="shared" si="86"/>
        <v>1655500.21875</v>
      </c>
      <c r="U41" s="62"/>
      <c r="W41" s="13"/>
      <c r="X41" s="14"/>
      <c r="Y41" s="14"/>
      <c r="Z41" s="653">
        <v>1</v>
      </c>
      <c r="AA41" s="14"/>
      <c r="AB41" s="14"/>
      <c r="AC41" s="14"/>
      <c r="AD41" s="15"/>
      <c r="AE41" s="32"/>
      <c r="AF41" s="32"/>
      <c r="AH41" s="284">
        <f t="shared" si="25"/>
        <v>36</v>
      </c>
      <c r="AI41" s="90">
        <f t="shared" ref="AI41:AP43" si="115">$S41*W41</f>
        <v>0</v>
      </c>
      <c r="AJ41" s="91">
        <f t="shared" si="115"/>
        <v>0</v>
      </c>
      <c r="AK41" s="91">
        <f t="shared" si="115"/>
        <v>0</v>
      </c>
      <c r="AL41" s="91">
        <f t="shared" si="115"/>
        <v>1715000</v>
      </c>
      <c r="AM41" s="91">
        <f t="shared" si="115"/>
        <v>0</v>
      </c>
      <c r="AN41" s="91">
        <f t="shared" si="115"/>
        <v>0</v>
      </c>
      <c r="AO41" s="91">
        <f t="shared" si="115"/>
        <v>0</v>
      </c>
      <c r="AP41" s="50">
        <f t="shared" si="115"/>
        <v>0</v>
      </c>
      <c r="AQ41" s="770"/>
      <c r="AR41" s="4">
        <f t="shared" si="26"/>
        <v>1715000</v>
      </c>
      <c r="AT41" s="4"/>
      <c r="AV41" s="131">
        <f t="shared" si="27"/>
        <v>0</v>
      </c>
      <c r="AW41" s="100">
        <f t="shared" si="8"/>
        <v>0</v>
      </c>
      <c r="AX41" s="100">
        <f t="shared" si="9"/>
        <v>0</v>
      </c>
      <c r="AY41" s="100">
        <f t="shared" si="10"/>
        <v>1655500.21875</v>
      </c>
      <c r="AZ41" s="100">
        <f t="shared" si="11"/>
        <v>0</v>
      </c>
      <c r="BA41" s="100">
        <f t="shared" si="12"/>
        <v>0</v>
      </c>
      <c r="BB41" s="100">
        <f t="shared" si="13"/>
        <v>0</v>
      </c>
      <c r="BC41" s="100">
        <f t="shared" si="14"/>
        <v>0</v>
      </c>
      <c r="BE41" s="96">
        <f t="shared" si="15"/>
        <v>1655500.21875</v>
      </c>
      <c r="BG41" t="str">
        <f t="shared" si="89"/>
        <v>Taxis_Providing incentives to taxis_SCC</v>
      </c>
      <c r="BJ41" s="133">
        <f t="shared" si="28"/>
        <v>0</v>
      </c>
      <c r="BK41" s="133">
        <f t="shared" si="17"/>
        <v>0</v>
      </c>
      <c r="BL41" s="133">
        <f t="shared" si="18"/>
        <v>0</v>
      </c>
      <c r="BM41" s="133">
        <f t="shared" si="19"/>
        <v>0</v>
      </c>
      <c r="BN41" s="133">
        <f t="shared" si="20"/>
        <v>0</v>
      </c>
      <c r="BO41" s="133">
        <f t="shared" si="21"/>
        <v>0</v>
      </c>
      <c r="BP41" s="133">
        <f t="shared" si="22"/>
        <v>0</v>
      </c>
      <c r="BR41" s="815"/>
    </row>
    <row r="42" spans="1:70" ht="30" x14ac:dyDescent="0.25">
      <c r="A42" s="64">
        <v>13</v>
      </c>
      <c r="B42" s="60" t="s">
        <v>4</v>
      </c>
      <c r="C42" s="27" t="s">
        <v>228</v>
      </c>
      <c r="D42" s="27" t="s">
        <v>38</v>
      </c>
      <c r="E42" s="27" t="str">
        <f>CONCATENATE(B42,"_",C42,"_",D42)</f>
        <v>Taxis_Providing incentives to taxis_RMBC</v>
      </c>
      <c r="F42" s="27" t="str">
        <f t="shared" si="4"/>
        <v>Taxis_RMBC</v>
      </c>
      <c r="G42" s="37" t="s">
        <v>523</v>
      </c>
      <c r="H42" s="331" t="str">
        <f t="shared" si="5"/>
        <v>Taxis_RMBC_capex</v>
      </c>
      <c r="I42" s="331">
        <v>37</v>
      </c>
      <c r="J42" s="4">
        <f t="shared" si="85"/>
        <v>116500</v>
      </c>
      <c r="K42" s="27"/>
      <c r="L42" s="62">
        <f>-L40</f>
        <v>29125</v>
      </c>
      <c r="M42" s="62">
        <f t="shared" ref="M42:N42" si="116">-M40</f>
        <v>58250</v>
      </c>
      <c r="N42" s="62">
        <f t="shared" si="116"/>
        <v>29125</v>
      </c>
      <c r="O42" s="62"/>
      <c r="P42" s="62"/>
      <c r="Q42" s="62"/>
      <c r="R42" s="62"/>
      <c r="S42" s="62">
        <f t="shared" si="29"/>
        <v>116500</v>
      </c>
      <c r="T42" s="67">
        <f t="shared" si="86"/>
        <v>112458.17812500001</v>
      </c>
      <c r="U42" s="62"/>
      <c r="W42" s="13"/>
      <c r="X42" s="14"/>
      <c r="Y42" s="14"/>
      <c r="Z42" s="653">
        <v>1</v>
      </c>
      <c r="AA42" s="14"/>
      <c r="AB42" s="14"/>
      <c r="AC42" s="14"/>
      <c r="AD42" s="15"/>
      <c r="AE42" s="32"/>
      <c r="AF42" s="32"/>
      <c r="AH42" s="284">
        <f t="shared" si="25"/>
        <v>37</v>
      </c>
      <c r="AI42" s="90">
        <f t="shared" si="115"/>
        <v>0</v>
      </c>
      <c r="AJ42" s="91">
        <f t="shared" si="115"/>
        <v>0</v>
      </c>
      <c r="AK42" s="91">
        <f t="shared" si="115"/>
        <v>0</v>
      </c>
      <c r="AL42" s="91">
        <f t="shared" si="115"/>
        <v>116500</v>
      </c>
      <c r="AM42" s="91">
        <f t="shared" si="115"/>
        <v>0</v>
      </c>
      <c r="AN42" s="91">
        <f t="shared" si="115"/>
        <v>0</v>
      </c>
      <c r="AO42" s="91">
        <f t="shared" si="115"/>
        <v>0</v>
      </c>
      <c r="AP42" s="50">
        <f t="shared" si="115"/>
        <v>0</v>
      </c>
      <c r="AQ42" s="770"/>
      <c r="AR42" s="4">
        <f t="shared" si="26"/>
        <v>116500</v>
      </c>
      <c r="AT42" s="4"/>
      <c r="AV42" s="131">
        <f t="shared" si="27"/>
        <v>0</v>
      </c>
      <c r="AW42" s="100">
        <f t="shared" si="8"/>
        <v>0</v>
      </c>
      <c r="AX42" s="100">
        <f t="shared" si="9"/>
        <v>0</v>
      </c>
      <c r="AY42" s="100">
        <f t="shared" si="10"/>
        <v>112458.17812500001</v>
      </c>
      <c r="AZ42" s="100">
        <f t="shared" si="11"/>
        <v>0</v>
      </c>
      <c r="BA42" s="100">
        <f t="shared" si="12"/>
        <v>0</v>
      </c>
      <c r="BB42" s="100">
        <f t="shared" si="13"/>
        <v>0</v>
      </c>
      <c r="BC42" s="100">
        <f t="shared" si="14"/>
        <v>0</v>
      </c>
      <c r="BE42" s="96">
        <f t="shared" ref="BE42:BE74" si="117">SUM(AV42:BC42)</f>
        <v>112458.17812500001</v>
      </c>
      <c r="BG42" t="str">
        <f t="shared" si="89"/>
        <v>Taxis_Providing incentives to taxis_RMBC</v>
      </c>
      <c r="BJ42" s="133">
        <f t="shared" si="28"/>
        <v>0</v>
      </c>
      <c r="BK42" s="133">
        <f t="shared" si="17"/>
        <v>0</v>
      </c>
      <c r="BL42" s="133">
        <f t="shared" si="18"/>
        <v>0</v>
      </c>
      <c r="BM42" s="133">
        <f t="shared" si="19"/>
        <v>0</v>
      </c>
      <c r="BN42" s="133">
        <f t="shared" si="20"/>
        <v>0</v>
      </c>
      <c r="BO42" s="133">
        <f t="shared" si="21"/>
        <v>0</v>
      </c>
      <c r="BP42" s="133">
        <f t="shared" si="22"/>
        <v>0</v>
      </c>
      <c r="BR42" s="815"/>
    </row>
    <row r="43" spans="1:70" ht="30" x14ac:dyDescent="0.25">
      <c r="A43" s="64">
        <v>14</v>
      </c>
      <c r="B43" s="60" t="s">
        <v>4</v>
      </c>
      <c r="C43" s="27" t="s">
        <v>40</v>
      </c>
      <c r="D43" s="27" t="s">
        <v>38</v>
      </c>
      <c r="E43" s="27" t="str">
        <f t="shared" si="31"/>
        <v>Taxis_Implementing changes to taxi policy_RMBC</v>
      </c>
      <c r="F43" s="27" t="str">
        <f t="shared" si="4"/>
        <v>Taxis_RMBC</v>
      </c>
      <c r="G43" s="37" t="s">
        <v>523</v>
      </c>
      <c r="H43" s="331" t="str">
        <f t="shared" si="5"/>
        <v>Taxis_RMBC_capex</v>
      </c>
      <c r="I43" s="331">
        <v>38</v>
      </c>
      <c r="J43" s="4">
        <f t="shared" si="85"/>
        <v>50000</v>
      </c>
      <c r="K43" s="27"/>
      <c r="L43" s="62"/>
      <c r="M43" s="62">
        <f>CALC_Current_option!$C$142</f>
        <v>50000</v>
      </c>
      <c r="N43" s="62"/>
      <c r="O43" s="62"/>
      <c r="P43" s="62"/>
      <c r="Q43" s="62"/>
      <c r="R43" s="62"/>
      <c r="S43" s="62">
        <f t="shared" si="29"/>
        <v>50000</v>
      </c>
      <c r="T43" s="67">
        <f t="shared" si="86"/>
        <v>48250</v>
      </c>
      <c r="U43" s="62"/>
      <c r="W43" s="13"/>
      <c r="X43" s="14"/>
      <c r="Y43" s="653">
        <v>1</v>
      </c>
      <c r="Z43" s="14"/>
      <c r="AA43" s="14"/>
      <c r="AB43" s="14"/>
      <c r="AC43" s="14"/>
      <c r="AD43" s="15"/>
      <c r="AE43" s="32"/>
      <c r="AF43" s="32"/>
      <c r="AH43" s="284">
        <f t="shared" si="25"/>
        <v>38</v>
      </c>
      <c r="AI43" s="90">
        <f t="shared" si="115"/>
        <v>0</v>
      </c>
      <c r="AJ43" s="91">
        <f t="shared" si="115"/>
        <v>0</v>
      </c>
      <c r="AK43" s="91">
        <f t="shared" si="115"/>
        <v>50000</v>
      </c>
      <c r="AL43" s="91">
        <f t="shared" si="115"/>
        <v>0</v>
      </c>
      <c r="AM43" s="91">
        <f t="shared" si="115"/>
        <v>0</v>
      </c>
      <c r="AN43" s="91">
        <f t="shared" si="115"/>
        <v>0</v>
      </c>
      <c r="AO43" s="91">
        <f t="shared" si="115"/>
        <v>0</v>
      </c>
      <c r="AP43" s="50">
        <f t="shared" si="115"/>
        <v>0</v>
      </c>
      <c r="AQ43" s="770"/>
      <c r="AR43" s="4">
        <f t="shared" si="26"/>
        <v>50000</v>
      </c>
      <c r="AT43" s="4"/>
      <c r="AV43" s="131">
        <f t="shared" si="27"/>
        <v>0</v>
      </c>
      <c r="AW43" s="100">
        <f t="shared" si="8"/>
        <v>0</v>
      </c>
      <c r="AX43" s="100">
        <f t="shared" si="9"/>
        <v>48250</v>
      </c>
      <c r="AY43" s="100">
        <f t="shared" si="10"/>
        <v>0</v>
      </c>
      <c r="AZ43" s="100">
        <f t="shared" si="11"/>
        <v>0</v>
      </c>
      <c r="BA43" s="100">
        <f t="shared" si="12"/>
        <v>0</v>
      </c>
      <c r="BB43" s="100">
        <f t="shared" si="13"/>
        <v>0</v>
      </c>
      <c r="BC43" s="100">
        <f t="shared" si="14"/>
        <v>0</v>
      </c>
      <c r="BE43" s="96">
        <f t="shared" si="117"/>
        <v>48250</v>
      </c>
      <c r="BG43" t="str">
        <f t="shared" si="89"/>
        <v>Taxis_Implementing changes to taxi policy_RMBC</v>
      </c>
      <c r="BJ43" s="133">
        <f t="shared" si="28"/>
        <v>0</v>
      </c>
      <c r="BK43" s="133">
        <f t="shared" si="17"/>
        <v>0</v>
      </c>
      <c r="BL43" s="133">
        <f t="shared" si="18"/>
        <v>0</v>
      </c>
      <c r="BM43" s="133">
        <f t="shared" si="19"/>
        <v>0</v>
      </c>
      <c r="BN43" s="133">
        <f t="shared" si="20"/>
        <v>0</v>
      </c>
      <c r="BO43" s="133">
        <f t="shared" si="21"/>
        <v>0</v>
      </c>
      <c r="BP43" s="133">
        <f t="shared" si="22"/>
        <v>0</v>
      </c>
      <c r="BR43" s="815"/>
    </row>
    <row r="44" spans="1:70" ht="15" customHeight="1" thickBot="1" x14ac:dyDescent="0.3">
      <c r="A44" s="64"/>
      <c r="B44" s="60"/>
      <c r="C44" s="27"/>
      <c r="D44" s="27"/>
      <c r="E44" s="27"/>
      <c r="F44" s="27"/>
      <c r="G44" s="23"/>
      <c r="H44" s="331"/>
      <c r="I44" s="331">
        <v>39</v>
      </c>
      <c r="J44" s="4">
        <f t="shared" si="85"/>
        <v>0</v>
      </c>
      <c r="K44" s="27"/>
      <c r="L44" s="62"/>
      <c r="M44" s="62"/>
      <c r="N44" s="62"/>
      <c r="O44" s="62"/>
      <c r="P44" s="62"/>
      <c r="Q44" s="62"/>
      <c r="R44" s="62"/>
      <c r="S44" s="62"/>
      <c r="T44" s="67"/>
      <c r="U44" s="62"/>
      <c r="W44" s="33"/>
      <c r="X44" s="34"/>
      <c r="Y44" s="34"/>
      <c r="Z44" s="34"/>
      <c r="AA44" s="34"/>
      <c r="AB44" s="34"/>
      <c r="AC44" s="34"/>
      <c r="AD44" s="35"/>
      <c r="AE44" s="32"/>
      <c r="AF44" s="32"/>
      <c r="AH44" s="284">
        <f t="shared" si="25"/>
        <v>39</v>
      </c>
      <c r="AI44" s="90"/>
      <c r="AJ44" s="91"/>
      <c r="AK44" s="91"/>
      <c r="AL44" s="91"/>
      <c r="AM44" s="91"/>
      <c r="AN44" s="91"/>
      <c r="AO44" s="91"/>
      <c r="AP44" s="50"/>
      <c r="AQ44" s="770"/>
      <c r="AR44" s="4"/>
      <c r="AT44" s="4"/>
      <c r="AV44" s="131"/>
      <c r="AW44" s="100"/>
      <c r="AX44" s="100"/>
      <c r="AY44" s="100"/>
      <c r="AZ44" s="100"/>
      <c r="BA44" s="100"/>
      <c r="BB44" s="100"/>
      <c r="BC44" s="100"/>
      <c r="BE44" s="96"/>
      <c r="BJ44" s="133"/>
      <c r="BK44" s="133"/>
      <c r="BL44" s="133"/>
      <c r="BM44" s="133"/>
      <c r="BN44" s="133"/>
      <c r="BO44" s="133"/>
      <c r="BP44" s="133"/>
      <c r="BR44" s="815"/>
    </row>
    <row r="45" spans="1:70" ht="15.75" customHeight="1" thickBot="1" x14ac:dyDescent="0.3">
      <c r="A45" s="64"/>
      <c r="B45" s="120" t="s">
        <v>3</v>
      </c>
      <c r="C45" s="27"/>
      <c r="D45" s="27"/>
      <c r="G45" s="23"/>
      <c r="H45" s="331"/>
      <c r="I45" s="331">
        <v>40</v>
      </c>
      <c r="J45" s="4">
        <f t="shared" si="85"/>
        <v>0</v>
      </c>
      <c r="K45" s="150">
        <v>0</v>
      </c>
      <c r="L45" s="153">
        <f>INP_Assumptions!C124</f>
        <v>0.5</v>
      </c>
      <c r="M45" s="153">
        <f>INP_Assumptions!D124</f>
        <v>0.5</v>
      </c>
      <c r="N45" s="153">
        <f>INP_Assumptions!E124</f>
        <v>0</v>
      </c>
      <c r="O45" s="153">
        <f>INP_Assumptions!F124</f>
        <v>0</v>
      </c>
      <c r="P45" s="153">
        <f>INP_Assumptions!G124</f>
        <v>0</v>
      </c>
      <c r="Q45" s="153">
        <f>INP_Assumptions!H124</f>
        <v>0</v>
      </c>
      <c r="R45" s="62"/>
      <c r="S45" s="62"/>
      <c r="T45" s="67"/>
      <c r="U45" s="62"/>
      <c r="W45" s="33"/>
      <c r="X45" s="34"/>
      <c r="Y45" s="34"/>
      <c r="Z45" s="34"/>
      <c r="AA45" s="34"/>
      <c r="AB45" s="34"/>
      <c r="AC45" s="34"/>
      <c r="AD45" s="35"/>
      <c r="AE45" s="32"/>
      <c r="AF45" s="32"/>
      <c r="AH45" s="284">
        <f t="shared" si="25"/>
        <v>40</v>
      </c>
      <c r="AI45" s="90"/>
      <c r="AJ45" s="91"/>
      <c r="AK45" s="91"/>
      <c r="AL45" s="91"/>
      <c r="AM45" s="91"/>
      <c r="AN45" s="91"/>
      <c r="AO45" s="91"/>
      <c r="AP45" s="50"/>
      <c r="AQ45" s="770"/>
      <c r="AR45" s="4"/>
      <c r="AT45" s="4"/>
      <c r="AV45" s="131"/>
      <c r="AW45" s="100"/>
      <c r="AX45" s="100"/>
      <c r="AY45" s="100"/>
      <c r="AZ45" s="100"/>
      <c r="BA45" s="100"/>
      <c r="BB45" s="100"/>
      <c r="BC45" s="100"/>
      <c r="BE45" s="96"/>
      <c r="BJ45" s="133"/>
      <c r="BK45" s="133"/>
      <c r="BL45" s="133"/>
      <c r="BM45" s="133"/>
      <c r="BN45" s="133"/>
      <c r="BO45" s="133"/>
      <c r="BP45" s="133"/>
      <c r="BR45" s="815"/>
    </row>
    <row r="46" spans="1:70" ht="15.75" customHeight="1" thickBot="1" x14ac:dyDescent="0.3">
      <c r="A46" s="64"/>
      <c r="B46" s="120"/>
      <c r="C46" s="27"/>
      <c r="D46" s="27"/>
      <c r="G46" s="23"/>
      <c r="H46" s="331"/>
      <c r="I46" s="331">
        <v>41</v>
      </c>
      <c r="J46" s="4">
        <f t="shared" si="85"/>
        <v>0</v>
      </c>
      <c r="K46" s="150">
        <v>0</v>
      </c>
      <c r="L46" s="198">
        <f>K46+(K45+L45)/2</f>
        <v>0.25</v>
      </c>
      <c r="M46" s="199">
        <f t="shared" ref="M46" si="118">L46+(L45+M45)/2</f>
        <v>0.75</v>
      </c>
      <c r="N46" s="199">
        <f t="shared" ref="N46" si="119">M46+(M45+N45)/2</f>
        <v>1</v>
      </c>
      <c r="O46" s="199">
        <f t="shared" ref="O46" si="120">N46+(N45+O45)/2</f>
        <v>1</v>
      </c>
      <c r="P46" s="199">
        <f t="shared" ref="P46:Q46" si="121">O46+(O45+P45)/2</f>
        <v>1</v>
      </c>
      <c r="Q46" s="200">
        <f t="shared" si="121"/>
        <v>1</v>
      </c>
      <c r="R46" s="62"/>
      <c r="S46" s="62"/>
      <c r="T46" s="67"/>
      <c r="U46" s="62"/>
      <c r="W46" s="33"/>
      <c r="X46" s="34"/>
      <c r="Y46" s="34"/>
      <c r="Z46" s="34"/>
      <c r="AA46" s="34" t="s">
        <v>812</v>
      </c>
      <c r="AB46" s="34"/>
      <c r="AC46" s="34"/>
      <c r="AD46" s="35"/>
      <c r="AE46" s="32"/>
      <c r="AF46" s="32"/>
      <c r="AH46" s="284">
        <f t="shared" si="25"/>
        <v>41</v>
      </c>
      <c r="AI46" s="90"/>
      <c r="AJ46" s="91"/>
      <c r="AK46" s="91"/>
      <c r="AL46" s="91"/>
      <c r="AM46" s="91"/>
      <c r="AN46" s="91"/>
      <c r="AO46" s="91"/>
      <c r="AP46" s="50"/>
      <c r="AQ46" s="770"/>
      <c r="AR46" s="4"/>
      <c r="AT46" s="4"/>
      <c r="AV46" s="131"/>
      <c r="AW46" s="100"/>
      <c r="AX46" s="100"/>
      <c r="AY46" s="100"/>
      <c r="AZ46" s="100"/>
      <c r="BA46" s="100"/>
      <c r="BB46" s="100"/>
      <c r="BC46" s="100"/>
      <c r="BE46" s="96"/>
      <c r="BJ46" s="133"/>
      <c r="BK46" s="133"/>
      <c r="BL46" s="133"/>
      <c r="BM46" s="133"/>
      <c r="BN46" s="133"/>
      <c r="BO46" s="133"/>
      <c r="BP46" s="133"/>
      <c r="BR46" s="815"/>
    </row>
    <row r="47" spans="1:70" ht="30" x14ac:dyDescent="0.25">
      <c r="A47" s="64">
        <v>1</v>
      </c>
      <c r="B47" s="60" t="s">
        <v>3</v>
      </c>
      <c r="C47" s="27" t="s">
        <v>887</v>
      </c>
      <c r="D47" s="27" t="s">
        <v>37</v>
      </c>
      <c r="E47" s="27" t="str">
        <f t="shared" ref="E47:E54" si="122">CONCATENATE(B47,"_",C47,"_",D47)</f>
        <v>Buses_Retro-fit existing fleet - CBTF_SCC</v>
      </c>
      <c r="F47" s="27" t="str">
        <f t="shared" si="4"/>
        <v>Buses_SCC</v>
      </c>
      <c r="G47" s="37" t="s">
        <v>523</v>
      </c>
      <c r="H47" s="331" t="str">
        <f t="shared" si="5"/>
        <v>Buses_SCC_capex</v>
      </c>
      <c r="I47" s="331">
        <v>42.1</v>
      </c>
      <c r="J47" s="4">
        <f t="shared" si="85"/>
        <v>3000000</v>
      </c>
      <c r="K47" s="27"/>
      <c r="L47" s="122">
        <f>CALC_Current_option!$E$148</f>
        <v>3000000</v>
      </c>
      <c r="M47" s="122"/>
      <c r="N47" s="122"/>
      <c r="O47" s="122"/>
      <c r="P47" s="122"/>
      <c r="Q47" s="122"/>
      <c r="R47" s="62"/>
      <c r="S47" s="62">
        <f t="shared" si="29"/>
        <v>3000000</v>
      </c>
      <c r="T47" s="67">
        <f t="shared" ref="T47:T54" si="123">SUMPRODUCT(L47:R47,$L$3:$R$3)</f>
        <v>3000000</v>
      </c>
      <c r="U47" s="62"/>
      <c r="W47" s="13"/>
      <c r="X47" s="14"/>
      <c r="Y47" s="684"/>
      <c r="Z47" s="14"/>
      <c r="AA47" s="684">
        <v>1</v>
      </c>
      <c r="AB47" s="14"/>
      <c r="AC47" s="14"/>
      <c r="AD47" s="15"/>
      <c r="AE47" s="32"/>
      <c r="AF47" s="32"/>
      <c r="AH47" s="284">
        <f t="shared" si="25"/>
        <v>42.1</v>
      </c>
      <c r="AI47" s="90">
        <f t="shared" ref="AI47:AP52" si="124">$S47*W47</f>
        <v>0</v>
      </c>
      <c r="AJ47" s="91">
        <f t="shared" si="124"/>
        <v>0</v>
      </c>
      <c r="AK47" s="91">
        <f t="shared" si="124"/>
        <v>0</v>
      </c>
      <c r="AL47" s="91">
        <f t="shared" si="124"/>
        <v>0</v>
      </c>
      <c r="AM47" s="91">
        <f t="shared" si="124"/>
        <v>3000000</v>
      </c>
      <c r="AN47" s="91">
        <f t="shared" si="124"/>
        <v>0</v>
      </c>
      <c r="AO47" s="91">
        <f t="shared" si="124"/>
        <v>0</v>
      </c>
      <c r="AP47" s="50">
        <f t="shared" si="124"/>
        <v>0</v>
      </c>
      <c r="AQ47" s="770"/>
      <c r="AR47" s="4">
        <f t="shared" si="26"/>
        <v>3000000</v>
      </c>
      <c r="AT47" s="4"/>
      <c r="AV47" s="131">
        <f t="shared" si="27"/>
        <v>0</v>
      </c>
      <c r="AW47" s="100">
        <f t="shared" si="8"/>
        <v>0</v>
      </c>
      <c r="AX47" s="100">
        <f t="shared" si="9"/>
        <v>0</v>
      </c>
      <c r="AY47" s="100">
        <f t="shared" si="10"/>
        <v>0</v>
      </c>
      <c r="AZ47" s="100">
        <f t="shared" si="11"/>
        <v>3000000</v>
      </c>
      <c r="BA47" s="100">
        <f t="shared" si="12"/>
        <v>0</v>
      </c>
      <c r="BB47" s="100">
        <f t="shared" si="13"/>
        <v>0</v>
      </c>
      <c r="BC47" s="100">
        <f t="shared" si="14"/>
        <v>0</v>
      </c>
      <c r="BE47" s="96">
        <f t="shared" si="117"/>
        <v>3000000</v>
      </c>
      <c r="BG47" t="str">
        <f t="shared" ref="BG47:BG54" si="125">E47</f>
        <v>Buses_Retro-fit existing fleet - CBTF_SCC</v>
      </c>
      <c r="BJ47" s="133">
        <f t="shared" si="28"/>
        <v>0</v>
      </c>
      <c r="BK47" s="133">
        <f t="shared" si="17"/>
        <v>0</v>
      </c>
      <c r="BL47" s="133">
        <f t="shared" si="18"/>
        <v>0</v>
      </c>
      <c r="BM47" s="133">
        <f t="shared" si="19"/>
        <v>0</v>
      </c>
      <c r="BN47" s="133">
        <f t="shared" si="20"/>
        <v>0</v>
      </c>
      <c r="BO47" s="133">
        <f t="shared" si="21"/>
        <v>0</v>
      </c>
      <c r="BP47" s="133">
        <f t="shared" si="22"/>
        <v>0</v>
      </c>
      <c r="BR47" s="815"/>
    </row>
    <row r="48" spans="1:70" ht="30" x14ac:dyDescent="0.25">
      <c r="A48" s="64">
        <v>1</v>
      </c>
      <c r="B48" s="60" t="s">
        <v>3</v>
      </c>
      <c r="C48" s="27" t="s">
        <v>888</v>
      </c>
      <c r="D48" s="27" t="s">
        <v>37</v>
      </c>
      <c r="E48" s="27" t="str">
        <f t="shared" ref="E48" si="126">CONCATENATE(B48,"_",C48,"_",D48)</f>
        <v>Buses_Retro-fit existing fleet - still to do_SCC</v>
      </c>
      <c r="F48" s="27" t="str">
        <f t="shared" ref="F48" si="127">CONCATENATE(B48,"_",D48)</f>
        <v>Buses_SCC</v>
      </c>
      <c r="G48" s="37" t="s">
        <v>523</v>
      </c>
      <c r="H48" s="331" t="str">
        <f t="shared" ref="H48" si="128">CONCATENATE(B48,"_",D48,"_",G48)</f>
        <v>Buses_SCC_capex</v>
      </c>
      <c r="I48" s="331">
        <v>42.2</v>
      </c>
      <c r="J48" s="4">
        <f t="shared" ref="J48" si="129">SUM(AI48:AP48)-AO48-AP48</f>
        <v>816000</v>
      </c>
      <c r="K48" s="27"/>
      <c r="L48" s="122">
        <f>L$45*CALC_Current_option!$E$149</f>
        <v>408000</v>
      </c>
      <c r="M48" s="122">
        <f>M$45*CALC_Current_option!$E$149</f>
        <v>408000</v>
      </c>
      <c r="N48" s="122">
        <f>N$45*CALC_Current_option!$E$149</f>
        <v>0</v>
      </c>
      <c r="O48" s="122">
        <f>O$45*CALC_Current_option!$E$149</f>
        <v>0</v>
      </c>
      <c r="P48" s="122">
        <f>P$45*CALC_Current_option!$E$149</f>
        <v>0</v>
      </c>
      <c r="Q48" s="122">
        <f>Q$45*CALC_Current_option!$E$149</f>
        <v>0</v>
      </c>
      <c r="R48" s="62"/>
      <c r="S48" s="62">
        <f t="shared" ref="S48" si="130">SUM(L48:R48)</f>
        <v>816000</v>
      </c>
      <c r="T48" s="67">
        <f t="shared" ref="T48" si="131">SUMPRODUCT(L48:R48,$L$3:$R$3)</f>
        <v>801720</v>
      </c>
      <c r="U48" s="62"/>
      <c r="W48" s="13"/>
      <c r="X48" s="14"/>
      <c r="Y48" s="684">
        <v>1</v>
      </c>
      <c r="Z48" s="14"/>
      <c r="AA48" s="684"/>
      <c r="AB48" s="14"/>
      <c r="AC48" s="14"/>
      <c r="AD48" s="15"/>
      <c r="AE48" s="32"/>
      <c r="AF48" s="32"/>
      <c r="AH48" s="284">
        <f t="shared" ref="AH48" si="132">I48</f>
        <v>42.2</v>
      </c>
      <c r="AI48" s="90">
        <f t="shared" ref="AI48" si="133">$S48*W48</f>
        <v>0</v>
      </c>
      <c r="AJ48" s="91">
        <f t="shared" ref="AJ48" si="134">$S48*X48</f>
        <v>0</v>
      </c>
      <c r="AK48" s="91">
        <f t="shared" ref="AK48" si="135">$S48*Y48</f>
        <v>816000</v>
      </c>
      <c r="AL48" s="91">
        <f t="shared" ref="AL48" si="136">$S48*Z48</f>
        <v>0</v>
      </c>
      <c r="AM48" s="91">
        <f t="shared" ref="AM48" si="137">$S48*AA48</f>
        <v>0</v>
      </c>
      <c r="AN48" s="91">
        <f t="shared" ref="AN48" si="138">$S48*AB48</f>
        <v>0</v>
      </c>
      <c r="AO48" s="91">
        <f t="shared" ref="AO48" si="139">$S48*AC48</f>
        <v>0</v>
      </c>
      <c r="AP48" s="50">
        <f t="shared" ref="AP48" si="140">$S48*AD48</f>
        <v>0</v>
      </c>
      <c r="AQ48" s="770"/>
      <c r="AR48" s="4">
        <f t="shared" ref="AR48" si="141">SUM(AI48:AP48)</f>
        <v>816000</v>
      </c>
      <c r="AT48" s="4"/>
      <c r="AV48" s="131">
        <f t="shared" ref="AV48" si="142">$T48*W48</f>
        <v>0</v>
      </c>
      <c r="AW48" s="100">
        <f t="shared" ref="AW48" si="143">$T48*X48</f>
        <v>0</v>
      </c>
      <c r="AX48" s="100">
        <f t="shared" ref="AX48" si="144">$T48*Y48</f>
        <v>801720</v>
      </c>
      <c r="AY48" s="100">
        <f t="shared" ref="AY48" si="145">$T48*Z48</f>
        <v>0</v>
      </c>
      <c r="AZ48" s="100">
        <f t="shared" ref="AZ48" si="146">$T48*AA48</f>
        <v>0</v>
      </c>
      <c r="BA48" s="100">
        <f t="shared" ref="BA48" si="147">$T48*AB48</f>
        <v>0</v>
      </c>
      <c r="BB48" s="100">
        <f t="shared" ref="BB48" si="148">$T48*AC48</f>
        <v>0</v>
      </c>
      <c r="BC48" s="100">
        <f t="shared" ref="BC48" si="149">$T48*AD48</f>
        <v>0</v>
      </c>
      <c r="BE48" s="96">
        <f t="shared" si="117"/>
        <v>801720</v>
      </c>
      <c r="BG48" t="str">
        <f t="shared" si="125"/>
        <v>Buses_Retro-fit existing fleet - still to do_SCC</v>
      </c>
      <c r="BJ48" s="133">
        <f t="shared" ref="BJ48" si="150">IF($G48="Ignore",0,$AC48*L48)</f>
        <v>0</v>
      </c>
      <c r="BK48" s="133">
        <f t="shared" ref="BK48" si="151">IF($G48="Ignore",0,$AC48*M48)</f>
        <v>0</v>
      </c>
      <c r="BL48" s="133">
        <f t="shared" ref="BL48" si="152">IF($G48="Ignore",0,$AC48*N48)</f>
        <v>0</v>
      </c>
      <c r="BM48" s="133">
        <f t="shared" ref="BM48" si="153">IF($G48="Ignore",0,$AC48*O48)</f>
        <v>0</v>
      </c>
      <c r="BN48" s="133">
        <f t="shared" ref="BN48" si="154">IF($G48="Ignore",0,$AC48*P48)</f>
        <v>0</v>
      </c>
      <c r="BO48" s="133">
        <f t="shared" ref="BO48" si="155">IF($G48="Ignore",0,$AC48*Q48)</f>
        <v>0</v>
      </c>
      <c r="BP48" s="133">
        <f t="shared" ref="BP48" si="156">IF($G48="Ignore",0,$AC48*R48)</f>
        <v>0</v>
      </c>
      <c r="BR48" s="815"/>
    </row>
    <row r="49" spans="1:70" x14ac:dyDescent="0.25">
      <c r="A49" s="64">
        <v>2</v>
      </c>
      <c r="B49" s="60" t="s">
        <v>3</v>
      </c>
      <c r="C49" s="27" t="s">
        <v>181</v>
      </c>
      <c r="D49" s="27" t="s">
        <v>38</v>
      </c>
      <c r="E49" s="27" t="str">
        <f t="shared" si="122"/>
        <v>Buses_Retro-fit existing fleet_RMBC</v>
      </c>
      <c r="F49" s="27" t="str">
        <f t="shared" si="4"/>
        <v>Buses_RMBC</v>
      </c>
      <c r="G49" s="37" t="s">
        <v>523</v>
      </c>
      <c r="H49" s="331" t="str">
        <f t="shared" si="5"/>
        <v>Buses_RMBC_capex</v>
      </c>
      <c r="I49" s="331">
        <v>43</v>
      </c>
      <c r="J49" s="4">
        <f t="shared" si="85"/>
        <v>918000</v>
      </c>
      <c r="K49" s="27"/>
      <c r="L49" s="62">
        <f>L$45*CALC_Current_option!$E$150</f>
        <v>459000</v>
      </c>
      <c r="M49" s="62">
        <f>M$45*CALC_Current_option!$E$150</f>
        <v>459000</v>
      </c>
      <c r="N49" s="62">
        <f>N$45*CALC_Current_option!$E$150</f>
        <v>0</v>
      </c>
      <c r="O49" s="62">
        <f>O$45*CALC_Current_option!$E$150</f>
        <v>0</v>
      </c>
      <c r="P49" s="62">
        <f>P$45*CALC_Current_option!$E$150</f>
        <v>0</v>
      </c>
      <c r="Q49" s="62">
        <f>Q$45*CALC_Current_option!$E$150</f>
        <v>0</v>
      </c>
      <c r="R49" s="62"/>
      <c r="S49" s="62">
        <f t="shared" si="29"/>
        <v>918000</v>
      </c>
      <c r="T49" s="67">
        <f t="shared" si="123"/>
        <v>901935</v>
      </c>
      <c r="U49" s="62"/>
      <c r="W49" s="13"/>
      <c r="X49" s="14"/>
      <c r="Y49" s="684">
        <v>1</v>
      </c>
      <c r="Z49" s="14"/>
      <c r="AA49" s="684"/>
      <c r="AB49" s="14"/>
      <c r="AC49" s="14"/>
      <c r="AD49" s="15"/>
      <c r="AE49" s="32"/>
      <c r="AF49" s="32"/>
      <c r="AH49" s="284">
        <f t="shared" si="25"/>
        <v>43</v>
      </c>
      <c r="AI49" s="90">
        <f t="shared" si="124"/>
        <v>0</v>
      </c>
      <c r="AJ49" s="91">
        <f t="shared" si="124"/>
        <v>0</v>
      </c>
      <c r="AK49" s="91">
        <f t="shared" si="124"/>
        <v>918000</v>
      </c>
      <c r="AL49" s="91">
        <f t="shared" si="124"/>
        <v>0</v>
      </c>
      <c r="AM49" s="91">
        <f t="shared" si="124"/>
        <v>0</v>
      </c>
      <c r="AN49" s="91">
        <f t="shared" si="124"/>
        <v>0</v>
      </c>
      <c r="AO49" s="91">
        <f t="shared" si="124"/>
        <v>0</v>
      </c>
      <c r="AP49" s="50">
        <f t="shared" si="124"/>
        <v>0</v>
      </c>
      <c r="AQ49" s="770"/>
      <c r="AR49" s="4">
        <f t="shared" si="26"/>
        <v>918000</v>
      </c>
      <c r="AT49" s="4"/>
      <c r="AV49" s="131">
        <f t="shared" si="27"/>
        <v>0</v>
      </c>
      <c r="AW49" s="100">
        <f t="shared" si="8"/>
        <v>0</v>
      </c>
      <c r="AX49" s="100">
        <f t="shared" si="9"/>
        <v>901935</v>
      </c>
      <c r="AY49" s="100">
        <f t="shared" si="10"/>
        <v>0</v>
      </c>
      <c r="AZ49" s="100">
        <f t="shared" si="11"/>
        <v>0</v>
      </c>
      <c r="BA49" s="100">
        <f t="shared" si="12"/>
        <v>0</v>
      </c>
      <c r="BB49" s="100">
        <f t="shared" si="13"/>
        <v>0</v>
      </c>
      <c r="BC49" s="100">
        <f t="shared" si="14"/>
        <v>0</v>
      </c>
      <c r="BE49" s="96">
        <f t="shared" si="117"/>
        <v>901935</v>
      </c>
      <c r="BG49" t="str">
        <f t="shared" si="125"/>
        <v>Buses_Retro-fit existing fleet_RMBC</v>
      </c>
      <c r="BJ49" s="133">
        <f t="shared" si="28"/>
        <v>0</v>
      </c>
      <c r="BK49" s="133">
        <f t="shared" si="17"/>
        <v>0</v>
      </c>
      <c r="BL49" s="133">
        <f t="shared" si="18"/>
        <v>0</v>
      </c>
      <c r="BM49" s="133">
        <f t="shared" si="19"/>
        <v>0</v>
      </c>
      <c r="BN49" s="133">
        <f t="shared" si="20"/>
        <v>0</v>
      </c>
      <c r="BO49" s="133">
        <f t="shared" si="21"/>
        <v>0</v>
      </c>
      <c r="BP49" s="133">
        <f t="shared" si="22"/>
        <v>0</v>
      </c>
      <c r="BR49" s="815"/>
    </row>
    <row r="50" spans="1:70" ht="30" x14ac:dyDescent="0.25">
      <c r="A50" s="64">
        <v>3</v>
      </c>
      <c r="B50" s="60" t="s">
        <v>3</v>
      </c>
      <c r="C50" s="27" t="str">
        <f>CALC_Current_option!B151</f>
        <v>New buses in Sheffield - Stagecoach</v>
      </c>
      <c r="D50" s="27" t="s">
        <v>37</v>
      </c>
      <c r="E50" s="27" t="str">
        <f t="shared" si="122"/>
        <v>Buses_New buses in Sheffield - Stagecoach_SCC</v>
      </c>
      <c r="F50" s="27" t="str">
        <f t="shared" si="4"/>
        <v>Buses_SCC</v>
      </c>
      <c r="G50" s="37" t="s">
        <v>523</v>
      </c>
      <c r="H50" s="331" t="str">
        <f t="shared" si="5"/>
        <v>Buses_SCC_capex</v>
      </c>
      <c r="I50" s="331">
        <v>44</v>
      </c>
      <c r="J50" s="4">
        <f t="shared" si="85"/>
        <v>0</v>
      </c>
      <c r="K50" s="27"/>
      <c r="L50" s="62">
        <f>L$45*CALC_Current_option!$E$151</f>
        <v>1759000</v>
      </c>
      <c r="M50" s="62">
        <f>M$45*CALC_Current_option!$E$151</f>
        <v>1759000</v>
      </c>
      <c r="N50" s="62">
        <f>N$45*CALC_Current_option!$E$151</f>
        <v>0</v>
      </c>
      <c r="O50" s="62">
        <f>O$45*CALC_Current_option!$E$151</f>
        <v>0</v>
      </c>
      <c r="P50" s="62">
        <f>P$45*CALC_Current_option!$E$151</f>
        <v>0</v>
      </c>
      <c r="Q50" s="62">
        <f>Q$45*CALC_Current_option!$E$151</f>
        <v>0</v>
      </c>
      <c r="R50" s="62"/>
      <c r="S50" s="62">
        <f t="shared" si="29"/>
        <v>3518000</v>
      </c>
      <c r="T50" s="67">
        <f t="shared" si="123"/>
        <v>3456435</v>
      </c>
      <c r="U50" s="62"/>
      <c r="W50" s="13"/>
      <c r="X50" s="14"/>
      <c r="Y50" s="14"/>
      <c r="Z50" s="14"/>
      <c r="AA50" s="14"/>
      <c r="AB50" s="14"/>
      <c r="AC50" s="657">
        <f>1-SUM(W50:AB50)</f>
        <v>1</v>
      </c>
      <c r="AD50" s="15"/>
      <c r="AE50" s="32"/>
      <c r="AF50" s="32"/>
      <c r="AH50" s="284">
        <f t="shared" si="25"/>
        <v>44</v>
      </c>
      <c r="AI50" s="90">
        <f t="shared" si="124"/>
        <v>0</v>
      </c>
      <c r="AJ50" s="91">
        <f t="shared" si="124"/>
        <v>0</v>
      </c>
      <c r="AK50" s="91">
        <f t="shared" si="124"/>
        <v>0</v>
      </c>
      <c r="AL50" s="91">
        <f t="shared" si="124"/>
        <v>0</v>
      </c>
      <c r="AM50" s="91">
        <f t="shared" si="124"/>
        <v>0</v>
      </c>
      <c r="AN50" s="91">
        <f t="shared" si="124"/>
        <v>0</v>
      </c>
      <c r="AO50" s="91">
        <f t="shared" si="124"/>
        <v>3518000</v>
      </c>
      <c r="AP50" s="50">
        <f t="shared" si="124"/>
        <v>0</v>
      </c>
      <c r="AQ50" s="770"/>
      <c r="AR50" s="4">
        <f t="shared" si="26"/>
        <v>3518000</v>
      </c>
      <c r="AT50" s="4"/>
      <c r="AV50" s="131">
        <f t="shared" si="27"/>
        <v>0</v>
      </c>
      <c r="AW50" s="100">
        <f t="shared" si="8"/>
        <v>0</v>
      </c>
      <c r="AX50" s="100">
        <f t="shared" si="9"/>
        <v>0</v>
      </c>
      <c r="AY50" s="100">
        <f t="shared" si="10"/>
        <v>0</v>
      </c>
      <c r="AZ50" s="100">
        <f t="shared" si="11"/>
        <v>0</v>
      </c>
      <c r="BA50" s="100">
        <f t="shared" si="12"/>
        <v>0</v>
      </c>
      <c r="BB50" s="100">
        <f t="shared" si="13"/>
        <v>3456435</v>
      </c>
      <c r="BC50" s="100">
        <f t="shared" si="14"/>
        <v>0</v>
      </c>
      <c r="BE50" s="96">
        <f t="shared" si="117"/>
        <v>3456435</v>
      </c>
      <c r="BG50" t="str">
        <f t="shared" si="125"/>
        <v>Buses_New buses in Sheffield - Stagecoach_SCC</v>
      </c>
      <c r="BJ50" s="133">
        <f t="shared" si="28"/>
        <v>1759000</v>
      </c>
      <c r="BK50" s="133">
        <f t="shared" si="17"/>
        <v>1759000</v>
      </c>
      <c r="BL50" s="133">
        <f t="shared" si="18"/>
        <v>0</v>
      </c>
      <c r="BM50" s="133">
        <f t="shared" si="19"/>
        <v>0</v>
      </c>
      <c r="BN50" s="133">
        <f t="shared" si="20"/>
        <v>0</v>
      </c>
      <c r="BO50" s="133">
        <f t="shared" si="21"/>
        <v>0</v>
      </c>
      <c r="BP50" s="133">
        <f t="shared" si="22"/>
        <v>0</v>
      </c>
      <c r="BR50" s="815"/>
    </row>
    <row r="51" spans="1:70" ht="30" x14ac:dyDescent="0.25">
      <c r="A51" s="64">
        <v>4</v>
      </c>
      <c r="B51" s="60" t="s">
        <v>3</v>
      </c>
      <c r="C51" s="27" t="str">
        <f>CALC_Current_option!B152</f>
        <v>New buses in Sheffield - Smaller Operators</v>
      </c>
      <c r="D51" s="27" t="s">
        <v>37</v>
      </c>
      <c r="E51" s="27" t="str">
        <f t="shared" si="122"/>
        <v>Buses_New buses in Sheffield - Smaller Operators_SCC</v>
      </c>
      <c r="F51" s="27" t="str">
        <f t="shared" si="4"/>
        <v>Buses_SCC</v>
      </c>
      <c r="G51" s="37" t="s">
        <v>523</v>
      </c>
      <c r="H51" s="331" t="str">
        <f t="shared" si="5"/>
        <v>Buses_SCC_capex</v>
      </c>
      <c r="I51" s="331">
        <v>45</v>
      </c>
      <c r="J51" s="4">
        <f t="shared" si="85"/>
        <v>558000</v>
      </c>
      <c r="K51" s="27"/>
      <c r="L51" s="62">
        <f>L$45*CALC_Current_option!$E$152</f>
        <v>930000</v>
      </c>
      <c r="M51" s="62">
        <f>M$45*CALC_Current_option!$E$152</f>
        <v>930000</v>
      </c>
      <c r="N51" s="62">
        <f>N$45*CALC_Current_option!$E$152</f>
        <v>0</v>
      </c>
      <c r="O51" s="62">
        <f>O$45*CALC_Current_option!$E$152</f>
        <v>0</v>
      </c>
      <c r="P51" s="62">
        <f>P$45*CALC_Current_option!$E$152</f>
        <v>0</v>
      </c>
      <c r="Q51" s="62">
        <f>Q$45*CALC_Current_option!$E$152</f>
        <v>0</v>
      </c>
      <c r="R51" s="62"/>
      <c r="S51" s="62">
        <f t="shared" ref="S51" si="157">SUM(L51:R51)</f>
        <v>1860000</v>
      </c>
      <c r="T51" s="67">
        <f t="shared" ref="T51" si="158">SUMPRODUCT(L51:R51,$L$3:$R$3)</f>
        <v>1827450</v>
      </c>
      <c r="U51" s="62"/>
      <c r="W51" s="13"/>
      <c r="X51" s="14"/>
      <c r="Y51" s="658">
        <f>CALC_Current_option!$C$158</f>
        <v>0.3</v>
      </c>
      <c r="Z51" s="659"/>
      <c r="AA51" s="14"/>
      <c r="AB51" s="14"/>
      <c r="AC51" s="73">
        <f>1-SUM(W51:AB51)</f>
        <v>0.7</v>
      </c>
      <c r="AD51" s="15"/>
      <c r="AE51" s="32"/>
      <c r="AF51" s="32"/>
      <c r="AH51" s="284">
        <f t="shared" si="25"/>
        <v>45</v>
      </c>
      <c r="AI51" s="90">
        <f t="shared" si="124"/>
        <v>0</v>
      </c>
      <c r="AJ51" s="91">
        <f t="shared" si="124"/>
        <v>0</v>
      </c>
      <c r="AK51" s="91">
        <f t="shared" si="124"/>
        <v>558000</v>
      </c>
      <c r="AL51" s="91">
        <f t="shared" si="124"/>
        <v>0</v>
      </c>
      <c r="AM51" s="91">
        <f t="shared" si="124"/>
        <v>0</v>
      </c>
      <c r="AN51" s="91">
        <f t="shared" si="124"/>
        <v>0</v>
      </c>
      <c r="AO51" s="91">
        <f t="shared" si="124"/>
        <v>1302000</v>
      </c>
      <c r="AP51" s="50">
        <f t="shared" si="124"/>
        <v>0</v>
      </c>
      <c r="AQ51" s="770"/>
      <c r="AR51" s="4">
        <f t="shared" si="26"/>
        <v>1860000</v>
      </c>
      <c r="AT51" s="4"/>
      <c r="AV51" s="131">
        <f t="shared" si="27"/>
        <v>0</v>
      </c>
      <c r="AW51" s="100">
        <f t="shared" si="8"/>
        <v>0</v>
      </c>
      <c r="AX51" s="100">
        <f t="shared" si="9"/>
        <v>548235</v>
      </c>
      <c r="AY51" s="100">
        <f t="shared" si="10"/>
        <v>0</v>
      </c>
      <c r="AZ51" s="100">
        <f t="shared" si="11"/>
        <v>0</v>
      </c>
      <c r="BA51" s="100">
        <f t="shared" si="12"/>
        <v>0</v>
      </c>
      <c r="BB51" s="100">
        <f t="shared" si="13"/>
        <v>1279215</v>
      </c>
      <c r="BC51" s="100">
        <f t="shared" si="14"/>
        <v>0</v>
      </c>
      <c r="BE51" s="96">
        <f t="shared" si="117"/>
        <v>1827450</v>
      </c>
      <c r="BG51" t="str">
        <f t="shared" si="125"/>
        <v>Buses_New buses in Sheffield - Smaller Operators_SCC</v>
      </c>
      <c r="BJ51" s="133">
        <f t="shared" si="28"/>
        <v>651000</v>
      </c>
      <c r="BK51" s="133">
        <f t="shared" si="17"/>
        <v>651000</v>
      </c>
      <c r="BL51" s="133">
        <f t="shared" si="18"/>
        <v>0</v>
      </c>
      <c r="BM51" s="133">
        <f t="shared" si="19"/>
        <v>0</v>
      </c>
      <c r="BN51" s="133">
        <f t="shared" si="20"/>
        <v>0</v>
      </c>
      <c r="BO51" s="133">
        <f t="shared" si="21"/>
        <v>0</v>
      </c>
      <c r="BP51" s="133">
        <f t="shared" si="22"/>
        <v>0</v>
      </c>
      <c r="BR51" s="815"/>
    </row>
    <row r="52" spans="1:70" ht="30" customHeight="1" x14ac:dyDescent="0.25">
      <c r="A52" s="64">
        <v>5</v>
      </c>
      <c r="B52" s="60" t="s">
        <v>3</v>
      </c>
      <c r="C52" s="27" t="str">
        <f>CALC_Current_option!B162</f>
        <v>Other bus operator costs in Rotherham</v>
      </c>
      <c r="D52" s="27" t="s">
        <v>38</v>
      </c>
      <c r="E52" s="27" t="str">
        <f t="shared" si="122"/>
        <v>Buses_Other bus operator costs in Rotherham_RMBC</v>
      </c>
      <c r="F52" s="27" t="str">
        <f t="shared" si="4"/>
        <v>Buses_RMBC</v>
      </c>
      <c r="G52" s="37" t="s">
        <v>570</v>
      </c>
      <c r="H52" s="331" t="str">
        <f t="shared" si="5"/>
        <v>Buses_RMBC_Ignore</v>
      </c>
      <c r="I52" s="331">
        <v>46</v>
      </c>
      <c r="J52" s="4">
        <f t="shared" si="85"/>
        <v>0</v>
      </c>
      <c r="K52" s="27"/>
      <c r="L52" s="62">
        <f>CALC_Current_option!C162</f>
        <v>726000</v>
      </c>
      <c r="M52" s="62"/>
      <c r="N52" s="62"/>
      <c r="O52" s="62"/>
      <c r="P52" s="62"/>
      <c r="Q52" s="62"/>
      <c r="R52" s="62"/>
      <c r="S52" s="62">
        <f t="shared" si="29"/>
        <v>726000</v>
      </c>
      <c r="T52" s="67">
        <f t="shared" si="123"/>
        <v>726000</v>
      </c>
      <c r="U52" s="62"/>
      <c r="W52" s="13"/>
      <c r="X52" s="14"/>
      <c r="Y52" s="14"/>
      <c r="Z52" s="14"/>
      <c r="AA52" s="14"/>
      <c r="AB52" s="14"/>
      <c r="AC52" s="657">
        <f>1-SUM(W52:AB52)</f>
        <v>1</v>
      </c>
      <c r="AD52" s="15"/>
      <c r="AE52" s="32"/>
      <c r="AF52" s="32"/>
      <c r="AH52" s="284">
        <f t="shared" si="25"/>
        <v>46</v>
      </c>
      <c r="AI52" s="90">
        <f t="shared" si="124"/>
        <v>0</v>
      </c>
      <c r="AJ52" s="91">
        <f t="shared" si="124"/>
        <v>0</v>
      </c>
      <c r="AK52" s="91">
        <f t="shared" si="124"/>
        <v>0</v>
      </c>
      <c r="AL52" s="91">
        <f t="shared" si="124"/>
        <v>0</v>
      </c>
      <c r="AM52" s="91">
        <f t="shared" si="124"/>
        <v>0</v>
      </c>
      <c r="AN52" s="91">
        <f t="shared" si="124"/>
        <v>0</v>
      </c>
      <c r="AO52" s="91">
        <f t="shared" si="124"/>
        <v>726000</v>
      </c>
      <c r="AP52" s="50">
        <f t="shared" si="124"/>
        <v>0</v>
      </c>
      <c r="AQ52" s="770"/>
      <c r="AR52" s="4">
        <f t="shared" si="26"/>
        <v>726000</v>
      </c>
      <c r="AT52" s="4"/>
      <c r="AV52" s="131">
        <f t="shared" si="27"/>
        <v>0</v>
      </c>
      <c r="AW52" s="100">
        <f t="shared" si="8"/>
        <v>0</v>
      </c>
      <c r="AX52" s="100">
        <f t="shared" si="9"/>
        <v>0</v>
      </c>
      <c r="AY52" s="100">
        <f t="shared" si="10"/>
        <v>0</v>
      </c>
      <c r="AZ52" s="100">
        <f t="shared" si="11"/>
        <v>0</v>
      </c>
      <c r="BA52" s="100">
        <f t="shared" si="12"/>
        <v>0</v>
      </c>
      <c r="BB52" s="100">
        <f t="shared" si="13"/>
        <v>726000</v>
      </c>
      <c r="BC52" s="100">
        <f t="shared" si="14"/>
        <v>0</v>
      </c>
      <c r="BE52" s="96">
        <f t="shared" si="117"/>
        <v>726000</v>
      </c>
      <c r="BG52" t="str">
        <f t="shared" si="125"/>
        <v>Buses_Other bus operator costs in Rotherham_RMBC</v>
      </c>
      <c r="BJ52" s="133">
        <f t="shared" si="28"/>
        <v>0</v>
      </c>
      <c r="BK52" s="133">
        <f t="shared" si="17"/>
        <v>0</v>
      </c>
      <c r="BL52" s="133">
        <f t="shared" si="18"/>
        <v>0</v>
      </c>
      <c r="BM52" s="133">
        <f t="shared" si="19"/>
        <v>0</v>
      </c>
      <c r="BN52" s="133">
        <f t="shared" si="20"/>
        <v>0</v>
      </c>
      <c r="BO52" s="133">
        <f t="shared" si="21"/>
        <v>0</v>
      </c>
      <c r="BP52" s="133">
        <f t="shared" si="22"/>
        <v>0</v>
      </c>
      <c r="BR52" s="815"/>
    </row>
    <row r="53" spans="1:70" ht="15" customHeight="1" x14ac:dyDescent="0.25">
      <c r="A53" s="64">
        <v>6</v>
      </c>
      <c r="B53" s="60" t="s">
        <v>3</v>
      </c>
      <c r="C53" s="27" t="s">
        <v>204</v>
      </c>
      <c r="D53" s="27" t="s">
        <v>37</v>
      </c>
      <c r="E53" s="27" t="str">
        <f t="shared" ref="E53" si="159">CONCATENATE(B53,"_",C53,"_",D53)</f>
        <v>Buses_Bus operating costs_SCC</v>
      </c>
      <c r="F53" s="27" t="str">
        <f t="shared" ref="F53" si="160">CONCATENATE(B53,"_",D53)</f>
        <v>Buses_SCC</v>
      </c>
      <c r="G53" s="37" t="s">
        <v>570</v>
      </c>
      <c r="H53" s="331" t="str">
        <f t="shared" si="5"/>
        <v>Buses_SCC_Ignore</v>
      </c>
      <c r="I53" s="331">
        <v>47</v>
      </c>
      <c r="J53" s="4">
        <f t="shared" si="85"/>
        <v>0</v>
      </c>
      <c r="K53" s="27"/>
      <c r="L53" s="122">
        <f>-CALC_Current_option!$C$154*L$46*L$4</f>
        <v>-13368.75</v>
      </c>
      <c r="M53" s="122">
        <f>-CALC_Current_option!$C$154*M$46*M$4</f>
        <v>-40216.130136986307</v>
      </c>
      <c r="N53" s="122">
        <f>-CALC_Current_option!$C$154*N$46*N$4</f>
        <v>-53475</v>
      </c>
      <c r="O53" s="122">
        <f>-CALC_Current_option!$C$154*O$46*O$4</f>
        <v>-53475</v>
      </c>
      <c r="P53" s="122">
        <f>-CALC_Current_option!$C$154*P$46*P$4</f>
        <v>-53475</v>
      </c>
      <c r="Q53" s="122">
        <f>-CALC_Current_option!$C$154*Q$46*Q$4</f>
        <v>-53621.506849315076</v>
      </c>
      <c r="R53" s="62"/>
      <c r="S53" s="62">
        <f t="shared" ref="S53" si="161">SUM(L53:R53)</f>
        <v>-267631.3869863014</v>
      </c>
      <c r="T53" s="67">
        <f t="shared" ref="T53" si="162">SUMPRODUCT(L53:R53,$L$3:$R$3)</f>
        <v>-241273.39177608257</v>
      </c>
      <c r="U53" s="62"/>
      <c r="W53" s="13"/>
      <c r="X53" s="14"/>
      <c r="Y53" s="14"/>
      <c r="Z53" s="14"/>
      <c r="AA53" s="14"/>
      <c r="AB53" s="14"/>
      <c r="AC53" s="657">
        <f>1-SUM(W53:AB53)</f>
        <v>1</v>
      </c>
      <c r="AD53" s="15"/>
      <c r="AE53" s="32"/>
      <c r="AF53" s="32"/>
      <c r="AH53" s="284">
        <f t="shared" si="25"/>
        <v>47</v>
      </c>
      <c r="AI53" s="90">
        <f t="shared" ref="AI53" si="163">$S53*W53</f>
        <v>0</v>
      </c>
      <c r="AJ53" s="91">
        <f t="shared" ref="AJ53" si="164">$S53*X53</f>
        <v>0</v>
      </c>
      <c r="AK53" s="91">
        <f t="shared" ref="AK53" si="165">$S53*Y53</f>
        <v>0</v>
      </c>
      <c r="AL53" s="91">
        <f t="shared" ref="AL53" si="166">$S53*Z53</f>
        <v>0</v>
      </c>
      <c r="AM53" s="91">
        <f t="shared" ref="AM53" si="167">$S53*AA53</f>
        <v>0</v>
      </c>
      <c r="AN53" s="91">
        <f t="shared" ref="AN53" si="168">$S53*AB53</f>
        <v>0</v>
      </c>
      <c r="AO53" s="91">
        <f t="shared" ref="AO53" si="169">$S53*AC53</f>
        <v>-267631.3869863014</v>
      </c>
      <c r="AP53" s="50">
        <f t="shared" ref="AP53" si="170">$S53*AD53</f>
        <v>0</v>
      </c>
      <c r="AQ53" s="770"/>
      <c r="AR53" s="4">
        <f t="shared" ref="AR53" si="171">SUM(AI53:AP53)</f>
        <v>-267631.3869863014</v>
      </c>
      <c r="AT53" s="4"/>
      <c r="AV53" s="131">
        <f t="shared" si="27"/>
        <v>0</v>
      </c>
      <c r="AW53" s="100">
        <f t="shared" si="8"/>
        <v>0</v>
      </c>
      <c r="AX53" s="100">
        <f t="shared" si="9"/>
        <v>0</v>
      </c>
      <c r="AY53" s="100">
        <f t="shared" si="10"/>
        <v>0</v>
      </c>
      <c r="AZ53" s="100">
        <f t="shared" si="11"/>
        <v>0</v>
      </c>
      <c r="BA53" s="100">
        <f t="shared" si="12"/>
        <v>0</v>
      </c>
      <c r="BB53" s="100">
        <f t="shared" si="13"/>
        <v>-241273.39177608257</v>
      </c>
      <c r="BC53" s="100">
        <f t="shared" si="14"/>
        <v>0</v>
      </c>
      <c r="BE53" s="96">
        <f t="shared" si="117"/>
        <v>-241273.39177608257</v>
      </c>
      <c r="BG53" t="str">
        <f t="shared" si="125"/>
        <v>Buses_Bus operating costs_SCC</v>
      </c>
      <c r="BJ53" s="133">
        <f t="shared" si="28"/>
        <v>0</v>
      </c>
      <c r="BK53" s="133">
        <f t="shared" si="17"/>
        <v>0</v>
      </c>
      <c r="BL53" s="133">
        <f t="shared" si="18"/>
        <v>0</v>
      </c>
      <c r="BM53" s="133">
        <f t="shared" si="19"/>
        <v>0</v>
      </c>
      <c r="BN53" s="133">
        <f t="shared" si="20"/>
        <v>0</v>
      </c>
      <c r="BO53" s="133">
        <f t="shared" si="21"/>
        <v>0</v>
      </c>
      <c r="BP53" s="133">
        <f t="shared" si="22"/>
        <v>0</v>
      </c>
      <c r="BR53" s="815"/>
    </row>
    <row r="54" spans="1:70" ht="15" customHeight="1" x14ac:dyDescent="0.25">
      <c r="A54" s="64">
        <v>7</v>
      </c>
      <c r="B54" s="60" t="s">
        <v>3</v>
      </c>
      <c r="C54" s="27" t="s">
        <v>204</v>
      </c>
      <c r="D54" s="27" t="s">
        <v>38</v>
      </c>
      <c r="E54" s="27" t="str">
        <f t="shared" si="122"/>
        <v>Buses_Bus operating costs_RMBC</v>
      </c>
      <c r="F54" s="27" t="str">
        <f t="shared" si="4"/>
        <v>Buses_RMBC</v>
      </c>
      <c r="G54" s="37" t="s">
        <v>570</v>
      </c>
      <c r="H54" s="331" t="str">
        <f t="shared" si="5"/>
        <v>Buses_RMBC_Ignore</v>
      </c>
      <c r="I54" s="331">
        <v>48</v>
      </c>
      <c r="J54" s="4">
        <f t="shared" si="85"/>
        <v>0</v>
      </c>
      <c r="K54" s="27"/>
      <c r="L54" s="122">
        <f>-CALC_Current_option!$C$155*L$46*L$4</f>
        <v>0</v>
      </c>
      <c r="M54" s="122">
        <f>-CALC_Current_option!$C$155*M$46*M$4</f>
        <v>0</v>
      </c>
      <c r="N54" s="122">
        <f>-CALC_Current_option!$C$155*N$46*N$4</f>
        <v>0</v>
      </c>
      <c r="O54" s="122">
        <f>-CALC_Current_option!$C$155*O$46*O$4</f>
        <v>0</v>
      </c>
      <c r="P54" s="122">
        <f>-CALC_Current_option!$C$155*P$46*P$4</f>
        <v>0</v>
      </c>
      <c r="Q54" s="122">
        <f>-CALC_Current_option!$C$155*Q$46*Q$4</f>
        <v>0</v>
      </c>
      <c r="R54" s="62"/>
      <c r="S54" s="62">
        <f t="shared" si="29"/>
        <v>0</v>
      </c>
      <c r="T54" s="67">
        <f t="shared" si="123"/>
        <v>0</v>
      </c>
      <c r="U54" s="62"/>
      <c r="W54" s="13"/>
      <c r="X54" s="14"/>
      <c r="Y54" s="14"/>
      <c r="Z54" s="14"/>
      <c r="AA54" s="14"/>
      <c r="AB54" s="14"/>
      <c r="AC54" s="657">
        <f>1-SUM(W54:AB54)</f>
        <v>1</v>
      </c>
      <c r="AD54" s="15"/>
      <c r="AE54" s="32"/>
      <c r="AF54" s="32"/>
      <c r="AH54" s="284">
        <f t="shared" si="25"/>
        <v>48</v>
      </c>
      <c r="AI54" s="90">
        <f t="shared" ref="AI54:AP54" si="172">$S54*W54</f>
        <v>0</v>
      </c>
      <c r="AJ54" s="91">
        <f t="shared" si="172"/>
        <v>0</v>
      </c>
      <c r="AK54" s="91">
        <f t="shared" si="172"/>
        <v>0</v>
      </c>
      <c r="AL54" s="91">
        <f t="shared" si="172"/>
        <v>0</v>
      </c>
      <c r="AM54" s="91">
        <f t="shared" si="172"/>
        <v>0</v>
      </c>
      <c r="AN54" s="91">
        <f t="shared" si="172"/>
        <v>0</v>
      </c>
      <c r="AO54" s="91">
        <f t="shared" si="172"/>
        <v>0</v>
      </c>
      <c r="AP54" s="50">
        <f t="shared" si="172"/>
        <v>0</v>
      </c>
      <c r="AQ54" s="770"/>
      <c r="AR54" s="4">
        <f t="shared" si="26"/>
        <v>0</v>
      </c>
      <c r="AT54" s="4"/>
      <c r="AV54" s="131">
        <f t="shared" si="27"/>
        <v>0</v>
      </c>
      <c r="AW54" s="100">
        <f t="shared" si="8"/>
        <v>0</v>
      </c>
      <c r="AX54" s="100">
        <f t="shared" si="9"/>
        <v>0</v>
      </c>
      <c r="AY54" s="100">
        <f t="shared" si="10"/>
        <v>0</v>
      </c>
      <c r="AZ54" s="100">
        <f t="shared" si="11"/>
        <v>0</v>
      </c>
      <c r="BA54" s="100">
        <f t="shared" si="12"/>
        <v>0</v>
      </c>
      <c r="BB54" s="100">
        <f t="shared" si="13"/>
        <v>0</v>
      </c>
      <c r="BC54" s="100">
        <f t="shared" si="14"/>
        <v>0</v>
      </c>
      <c r="BE54" s="96">
        <f t="shared" si="117"/>
        <v>0</v>
      </c>
      <c r="BG54" t="str">
        <f t="shared" si="125"/>
        <v>Buses_Bus operating costs_RMBC</v>
      </c>
      <c r="BJ54" s="133">
        <f t="shared" si="28"/>
        <v>0</v>
      </c>
      <c r="BK54" s="133">
        <f t="shared" si="17"/>
        <v>0</v>
      </c>
      <c r="BL54" s="133">
        <f t="shared" si="18"/>
        <v>0</v>
      </c>
      <c r="BM54" s="133">
        <f t="shared" si="19"/>
        <v>0</v>
      </c>
      <c r="BN54" s="133">
        <f t="shared" si="20"/>
        <v>0</v>
      </c>
      <c r="BO54" s="133">
        <f t="shared" si="21"/>
        <v>0</v>
      </c>
      <c r="BP54" s="133">
        <f t="shared" si="22"/>
        <v>0</v>
      </c>
      <c r="BR54" s="815"/>
    </row>
    <row r="55" spans="1:70" ht="15" customHeight="1" x14ac:dyDescent="0.25">
      <c r="A55" s="64"/>
      <c r="B55" s="60"/>
      <c r="C55" s="27"/>
      <c r="D55" s="27"/>
      <c r="E55" s="27"/>
      <c r="F55" s="27"/>
      <c r="G55" s="23"/>
      <c r="H55" s="331"/>
      <c r="I55" s="331"/>
      <c r="J55" s="4"/>
      <c r="K55" s="27"/>
      <c r="L55" s="62"/>
      <c r="M55" s="62"/>
      <c r="N55" s="62"/>
      <c r="O55" s="62"/>
      <c r="P55" s="62"/>
      <c r="Q55" s="62"/>
      <c r="R55" s="62"/>
      <c r="S55" s="62"/>
      <c r="T55" s="67"/>
      <c r="U55" s="62"/>
      <c r="W55" s="33"/>
      <c r="X55" s="34"/>
      <c r="Y55" s="34"/>
      <c r="Z55" s="34"/>
      <c r="AA55" s="34"/>
      <c r="AB55" s="34"/>
      <c r="AC55" s="34"/>
      <c r="AD55" s="35"/>
      <c r="AE55" s="32"/>
      <c r="AF55" s="32"/>
      <c r="AH55" s="284"/>
      <c r="AI55" s="90"/>
      <c r="AJ55" s="91"/>
      <c r="AK55" s="91"/>
      <c r="AL55" s="91"/>
      <c r="AM55" s="91"/>
      <c r="AN55" s="91"/>
      <c r="AO55" s="91"/>
      <c r="AP55" s="50"/>
      <c r="AQ55" s="770"/>
      <c r="AR55" s="4"/>
      <c r="AT55" s="4"/>
      <c r="AV55" s="131"/>
      <c r="AW55" s="100"/>
      <c r="AX55" s="100"/>
      <c r="AY55" s="100"/>
      <c r="AZ55" s="100"/>
      <c r="BA55" s="100"/>
      <c r="BB55" s="100"/>
      <c r="BC55" s="100"/>
      <c r="BE55" s="96"/>
      <c r="BJ55" s="133"/>
      <c r="BK55" s="133"/>
      <c r="BL55" s="133"/>
      <c r="BM55" s="133"/>
      <c r="BN55" s="133"/>
      <c r="BO55" s="133"/>
      <c r="BP55" s="133"/>
      <c r="BR55" s="815"/>
    </row>
    <row r="56" spans="1:70" ht="15" customHeight="1" thickBot="1" x14ac:dyDescent="0.3">
      <c r="A56" s="64"/>
      <c r="B56" s="60"/>
      <c r="C56" s="27"/>
      <c r="D56" s="27"/>
      <c r="E56" s="27"/>
      <c r="F56" s="27"/>
      <c r="G56" s="23"/>
      <c r="H56" s="331"/>
      <c r="I56" s="331"/>
      <c r="J56" s="4"/>
      <c r="K56" s="27"/>
      <c r="L56" s="62"/>
      <c r="M56" s="62"/>
      <c r="N56" s="62"/>
      <c r="O56" s="62"/>
      <c r="P56" s="62"/>
      <c r="Q56" s="62"/>
      <c r="R56" s="62"/>
      <c r="S56" s="62"/>
      <c r="T56" s="67"/>
      <c r="U56" s="62"/>
      <c r="W56" s="33"/>
      <c r="X56" s="34"/>
      <c r="Y56" s="34"/>
      <c r="Z56" s="34"/>
      <c r="AA56" s="34"/>
      <c r="AB56" s="34"/>
      <c r="AC56" s="34"/>
      <c r="AD56" s="35"/>
      <c r="AE56" s="32"/>
      <c r="AF56" s="32"/>
      <c r="AH56" s="284"/>
      <c r="AI56" s="90"/>
      <c r="AJ56" s="91"/>
      <c r="AK56" s="91"/>
      <c r="AL56" s="91"/>
      <c r="AM56" s="91"/>
      <c r="AN56" s="91"/>
      <c r="AO56" s="91"/>
      <c r="AP56" s="50"/>
      <c r="AQ56" s="770"/>
      <c r="AR56" s="4"/>
      <c r="AT56" s="4"/>
      <c r="AV56" s="131"/>
      <c r="AW56" s="100"/>
      <c r="AX56" s="100"/>
      <c r="AY56" s="100"/>
      <c r="AZ56" s="100"/>
      <c r="BA56" s="100"/>
      <c r="BB56" s="100"/>
      <c r="BC56" s="100"/>
      <c r="BE56" s="96"/>
      <c r="BJ56" s="133"/>
      <c r="BK56" s="133"/>
      <c r="BL56" s="133"/>
      <c r="BM56" s="133"/>
      <c r="BN56" s="133"/>
      <c r="BO56" s="133"/>
      <c r="BP56" s="133"/>
      <c r="BR56" s="815"/>
    </row>
    <row r="57" spans="1:70" ht="15.75" customHeight="1" thickBot="1" x14ac:dyDescent="0.3">
      <c r="A57" s="64"/>
      <c r="B57" s="120" t="s">
        <v>26</v>
      </c>
      <c r="C57" s="27"/>
      <c r="D57" s="27"/>
      <c r="G57" s="23"/>
      <c r="H57" s="331"/>
      <c r="I57" s="331">
        <v>51</v>
      </c>
      <c r="J57" s="4">
        <f t="shared" si="85"/>
        <v>0</v>
      </c>
      <c r="K57" s="150">
        <v>0</v>
      </c>
      <c r="L57" s="153">
        <f>INP_Assumptions!C125</f>
        <v>0.2</v>
      </c>
      <c r="M57" s="153">
        <f>INP_Assumptions!D125</f>
        <v>0.6</v>
      </c>
      <c r="N57" s="153">
        <f>INP_Assumptions!E125</f>
        <v>0.2</v>
      </c>
      <c r="O57" s="153">
        <f>INP_Assumptions!F125</f>
        <v>0</v>
      </c>
      <c r="P57" s="153">
        <f>INP_Assumptions!G125</f>
        <v>0</v>
      </c>
      <c r="Q57" s="153">
        <f>INP_Assumptions!H125</f>
        <v>0</v>
      </c>
      <c r="R57" s="62"/>
      <c r="S57" s="62"/>
      <c r="T57" s="67"/>
      <c r="U57" s="62"/>
      <c r="W57" s="33"/>
      <c r="X57" s="34"/>
      <c r="Y57" s="34"/>
      <c r="Z57" s="34"/>
      <c r="AA57" s="34"/>
      <c r="AB57" s="34"/>
      <c r="AC57" s="34"/>
      <c r="AD57" s="35"/>
      <c r="AE57" s="32"/>
      <c r="AF57" s="32"/>
      <c r="AH57" s="284">
        <f t="shared" si="25"/>
        <v>51</v>
      </c>
      <c r="AI57" s="90"/>
      <c r="AJ57" s="91"/>
      <c r="AK57" s="91"/>
      <c r="AL57" s="91"/>
      <c r="AM57" s="91"/>
      <c r="AN57" s="91"/>
      <c r="AO57" s="91"/>
      <c r="AP57" s="50"/>
      <c r="AQ57" s="770"/>
      <c r="AR57" s="4"/>
      <c r="AT57" s="4"/>
      <c r="AV57" s="131"/>
      <c r="AW57" s="100"/>
      <c r="AX57" s="100"/>
      <c r="AY57" s="100"/>
      <c r="AZ57" s="100"/>
      <c r="BA57" s="100"/>
      <c r="BB57" s="100"/>
      <c r="BC57" s="100"/>
      <c r="BE57" s="96"/>
      <c r="BJ57" s="133"/>
      <c r="BK57" s="133"/>
      <c r="BL57" s="133"/>
      <c r="BM57" s="133"/>
      <c r="BN57" s="133"/>
      <c r="BO57" s="133"/>
      <c r="BP57" s="133"/>
      <c r="BR57" s="815"/>
    </row>
    <row r="58" spans="1:70" ht="15.75" customHeight="1" thickBot="1" x14ac:dyDescent="0.3">
      <c r="A58" s="64"/>
      <c r="B58" s="120"/>
      <c r="C58" s="27"/>
      <c r="D58" s="27"/>
      <c r="G58" s="23"/>
      <c r="H58" s="331"/>
      <c r="I58" s="331">
        <v>52</v>
      </c>
      <c r="J58" s="4">
        <f t="shared" si="85"/>
        <v>0</v>
      </c>
      <c r="K58" s="150">
        <v>0</v>
      </c>
      <c r="L58" s="198">
        <f>K58+(K57+L57)/2</f>
        <v>0.1</v>
      </c>
      <c r="M58" s="199">
        <f t="shared" ref="M58" si="173">L58+(L57+M57)/2</f>
        <v>0.5</v>
      </c>
      <c r="N58" s="199">
        <f t="shared" ref="N58" si="174">M58+(M57+N57)/2</f>
        <v>0.9</v>
      </c>
      <c r="O58" s="199">
        <f t="shared" ref="O58" si="175">N58+(N57+O57)/2</f>
        <v>1</v>
      </c>
      <c r="P58" s="199">
        <f t="shared" ref="P58" si="176">O58+(O57+P57)/2</f>
        <v>1</v>
      </c>
      <c r="Q58" s="200">
        <f t="shared" ref="Q58" si="177">P58+(P57+Q57)/2</f>
        <v>1</v>
      </c>
      <c r="R58" s="62"/>
      <c r="S58" s="62"/>
      <c r="T58" s="67"/>
      <c r="U58" s="62"/>
      <c r="W58" s="33"/>
      <c r="X58" s="34"/>
      <c r="Y58" s="34"/>
      <c r="Z58" s="34"/>
      <c r="AA58" s="34"/>
      <c r="AB58" s="34"/>
      <c r="AC58" s="34"/>
      <c r="AD58" s="35"/>
      <c r="AE58" s="32"/>
      <c r="AF58" s="32"/>
      <c r="AH58" s="284">
        <f t="shared" si="25"/>
        <v>52</v>
      </c>
      <c r="AI58" s="90"/>
      <c r="AJ58" s="91"/>
      <c r="AK58" s="91"/>
      <c r="AL58" s="91"/>
      <c r="AM58" s="91"/>
      <c r="AN58" s="91"/>
      <c r="AO58" s="91"/>
      <c r="AP58" s="50"/>
      <c r="AQ58" s="770"/>
      <c r="AR58" s="4"/>
      <c r="AT58" s="4"/>
      <c r="AV58" s="131"/>
      <c r="AW58" s="100"/>
      <c r="AX58" s="100"/>
      <c r="AY58" s="100"/>
      <c r="AZ58" s="100"/>
      <c r="BA58" s="100"/>
      <c r="BB58" s="100"/>
      <c r="BC58" s="100"/>
      <c r="BE58" s="96"/>
      <c r="BJ58" s="133"/>
      <c r="BK58" s="133"/>
      <c r="BL58" s="133"/>
      <c r="BM58" s="133"/>
      <c r="BN58" s="133"/>
      <c r="BO58" s="133"/>
      <c r="BP58" s="133"/>
      <c r="BR58" s="815"/>
    </row>
    <row r="59" spans="1:70" ht="30" customHeight="1" x14ac:dyDescent="0.25">
      <c r="A59" s="64">
        <v>1</v>
      </c>
      <c r="B59" s="60" t="s">
        <v>26</v>
      </c>
      <c r="C59" s="27" t="s">
        <v>8</v>
      </c>
      <c r="D59" s="27" t="s">
        <v>483</v>
      </c>
      <c r="E59" s="27" t="str">
        <f t="shared" si="31"/>
        <v>LGVs_Upgrading the LGV Fleet (to EURO 6 or ULEV)_Private_Sector</v>
      </c>
      <c r="F59" s="27" t="str">
        <f t="shared" si="4"/>
        <v>LGVs_Private_Sector</v>
      </c>
      <c r="G59" s="37" t="s">
        <v>570</v>
      </c>
      <c r="H59" s="331" t="str">
        <f t="shared" si="5"/>
        <v>LGVs_Private_Sector_Ignore</v>
      </c>
      <c r="I59" s="331">
        <v>53</v>
      </c>
      <c r="J59" s="4">
        <f t="shared" si="85"/>
        <v>0</v>
      </c>
      <c r="K59" s="27"/>
      <c r="L59" s="62">
        <f>CALC_Current_option!$C$168*CALC_Funding!L$57</f>
        <v>7298000</v>
      </c>
      <c r="M59" s="62">
        <f>CALC_Current_option!$C$168*CALC_Funding!M$57</f>
        <v>21894000</v>
      </c>
      <c r="N59" s="62">
        <f>CALC_Current_option!$C$168*CALC_Funding!N$57</f>
        <v>7298000</v>
      </c>
      <c r="O59" s="62">
        <f>CALC_Current_option!$C$168*CALC_Funding!O$57</f>
        <v>0</v>
      </c>
      <c r="P59" s="62">
        <f>CALC_Current_option!$C$168*CALC_Funding!P$57</f>
        <v>0</v>
      </c>
      <c r="Q59" s="62">
        <f>CALC_Current_option!$C$168*CALC_Funding!Q$57</f>
        <v>0</v>
      </c>
      <c r="R59" s="30">
        <f>-CALC_Current_option!C174</f>
        <v>-36490000</v>
      </c>
      <c r="S59" s="62">
        <f t="shared" si="29"/>
        <v>0</v>
      </c>
      <c r="T59" s="67">
        <f t="shared" ref="T59:T63" si="178">SUMPRODUCT(L59:R59,$L$3:$R$3)</f>
        <v>5754666.5399672538</v>
      </c>
      <c r="U59" s="62"/>
      <c r="W59" s="13"/>
      <c r="X59" s="14"/>
      <c r="Y59" s="14"/>
      <c r="Z59" s="20"/>
      <c r="AA59" s="20"/>
      <c r="AB59" s="14"/>
      <c r="AC59" s="660">
        <f>1-Z59</f>
        <v>1</v>
      </c>
      <c r="AD59" s="15"/>
      <c r="AE59" s="32"/>
      <c r="AF59" s="32"/>
      <c r="AH59" s="284">
        <f t="shared" si="25"/>
        <v>53</v>
      </c>
      <c r="AI59" s="90">
        <f t="shared" ref="AI59:AP63" si="179">$S59*W59</f>
        <v>0</v>
      </c>
      <c r="AJ59" s="91">
        <f t="shared" si="179"/>
        <v>0</v>
      </c>
      <c r="AK59" s="91">
        <f t="shared" si="179"/>
        <v>0</v>
      </c>
      <c r="AL59" s="91">
        <f t="shared" si="179"/>
        <v>0</v>
      </c>
      <c r="AM59" s="91">
        <f t="shared" si="179"/>
        <v>0</v>
      </c>
      <c r="AN59" s="91">
        <f t="shared" si="179"/>
        <v>0</v>
      </c>
      <c r="AO59" s="91">
        <f t="shared" si="179"/>
        <v>0</v>
      </c>
      <c r="AP59" s="50">
        <f t="shared" si="179"/>
        <v>0</v>
      </c>
      <c r="AQ59" s="770"/>
      <c r="AR59" s="4">
        <f t="shared" si="26"/>
        <v>0</v>
      </c>
      <c r="AT59" s="4"/>
      <c r="AV59" s="131">
        <f t="shared" si="27"/>
        <v>0</v>
      </c>
      <c r="AW59" s="100">
        <f t="shared" si="8"/>
        <v>0</v>
      </c>
      <c r="AX59" s="100">
        <f t="shared" si="9"/>
        <v>0</v>
      </c>
      <c r="AY59" s="100">
        <f t="shared" si="10"/>
        <v>0</v>
      </c>
      <c r="AZ59" s="100">
        <f t="shared" si="11"/>
        <v>0</v>
      </c>
      <c r="BA59" s="100">
        <f t="shared" si="12"/>
        <v>0</v>
      </c>
      <c r="BB59" s="100">
        <f t="shared" si="13"/>
        <v>5754666.5399672538</v>
      </c>
      <c r="BC59" s="100">
        <f t="shared" si="14"/>
        <v>0</v>
      </c>
      <c r="BE59" s="96">
        <f t="shared" si="117"/>
        <v>5754666.5399672538</v>
      </c>
      <c r="BG59" t="str">
        <f>E59</f>
        <v>LGVs_Upgrading the LGV Fleet (to EURO 6 or ULEV)_Private_Sector</v>
      </c>
      <c r="BJ59" s="133">
        <f t="shared" si="28"/>
        <v>0</v>
      </c>
      <c r="BK59" s="133">
        <f t="shared" si="17"/>
        <v>0</v>
      </c>
      <c r="BL59" s="133">
        <f t="shared" si="18"/>
        <v>0</v>
      </c>
      <c r="BM59" s="133">
        <f t="shared" si="19"/>
        <v>0</v>
      </c>
      <c r="BN59" s="133">
        <f t="shared" si="20"/>
        <v>0</v>
      </c>
      <c r="BO59" s="133">
        <f t="shared" si="21"/>
        <v>0</v>
      </c>
      <c r="BP59" s="133">
        <f t="shared" si="22"/>
        <v>0</v>
      </c>
      <c r="BR59" s="815"/>
    </row>
    <row r="60" spans="1:70" ht="15" customHeight="1" x14ac:dyDescent="0.25">
      <c r="A60" s="64">
        <v>2</v>
      </c>
      <c r="B60" s="60" t="s">
        <v>26</v>
      </c>
      <c r="C60" s="27" t="s">
        <v>212</v>
      </c>
      <c r="D60" s="27" t="s">
        <v>483</v>
      </c>
      <c r="E60" s="27" t="str">
        <f t="shared" si="31"/>
        <v>LGVs_Operating costs_Private_Sector</v>
      </c>
      <c r="F60" s="27" t="str">
        <f t="shared" si="4"/>
        <v>LGVs_Private_Sector</v>
      </c>
      <c r="G60" s="37" t="s">
        <v>570</v>
      </c>
      <c r="H60" s="331" t="str">
        <f t="shared" si="5"/>
        <v>LGVs_Private_Sector_Ignore</v>
      </c>
      <c r="I60" s="331">
        <v>54</v>
      </c>
      <c r="J60" s="4">
        <f t="shared" si="85"/>
        <v>0</v>
      </c>
      <c r="K60" s="27"/>
      <c r="L60" s="122">
        <f>-CALC_Current_option!$C$175*L$58*L$4</f>
        <v>0</v>
      </c>
      <c r="M60" s="122">
        <f>-CALC_Current_option!$C$175*M$58*M$4</f>
        <v>0</v>
      </c>
      <c r="N60" s="122">
        <f>-CALC_Current_option!$C$175*N$58*N$4</f>
        <v>0</v>
      </c>
      <c r="O60" s="122">
        <f>-CALC_Current_option!$C$175*O$58*O$4</f>
        <v>0</v>
      </c>
      <c r="P60" s="122">
        <f>-CALC_Current_option!$C$175*P$58*P$4</f>
        <v>0</v>
      </c>
      <c r="Q60" s="122">
        <f>-CALC_Current_option!$C$175*Q$58*Q$4</f>
        <v>0</v>
      </c>
      <c r="R60" s="30"/>
      <c r="S60" s="62">
        <f t="shared" si="29"/>
        <v>0</v>
      </c>
      <c r="T60" s="67">
        <f t="shared" si="178"/>
        <v>0</v>
      </c>
      <c r="U60" s="62"/>
      <c r="W60" s="13"/>
      <c r="X60" s="14"/>
      <c r="Y60" s="14"/>
      <c r="Z60" s="20"/>
      <c r="AA60" s="20"/>
      <c r="AB60" s="14"/>
      <c r="AC60" s="660">
        <f>1-Z60</f>
        <v>1</v>
      </c>
      <c r="AD60" s="15"/>
      <c r="AE60" s="32"/>
      <c r="AF60" s="32"/>
      <c r="AH60" s="284">
        <f t="shared" si="25"/>
        <v>54</v>
      </c>
      <c r="AI60" s="90">
        <f t="shared" si="179"/>
        <v>0</v>
      </c>
      <c r="AJ60" s="91">
        <f t="shared" si="179"/>
        <v>0</v>
      </c>
      <c r="AK60" s="91">
        <f t="shared" si="179"/>
        <v>0</v>
      </c>
      <c r="AL60" s="91">
        <f t="shared" si="179"/>
        <v>0</v>
      </c>
      <c r="AM60" s="91">
        <f t="shared" si="179"/>
        <v>0</v>
      </c>
      <c r="AN60" s="91">
        <f t="shared" si="179"/>
        <v>0</v>
      </c>
      <c r="AO60" s="91">
        <f t="shared" si="179"/>
        <v>0</v>
      </c>
      <c r="AP60" s="50">
        <f t="shared" si="179"/>
        <v>0</v>
      </c>
      <c r="AQ60" s="770"/>
      <c r="AR60" s="4">
        <f t="shared" si="26"/>
        <v>0</v>
      </c>
      <c r="AT60" s="4"/>
      <c r="AV60" s="131">
        <f t="shared" si="27"/>
        <v>0</v>
      </c>
      <c r="AW60" s="100">
        <f t="shared" si="8"/>
        <v>0</v>
      </c>
      <c r="AX60" s="100">
        <f t="shared" si="9"/>
        <v>0</v>
      </c>
      <c r="AY60" s="100">
        <f t="shared" si="10"/>
        <v>0</v>
      </c>
      <c r="AZ60" s="100">
        <f t="shared" si="11"/>
        <v>0</v>
      </c>
      <c r="BA60" s="100">
        <f t="shared" si="12"/>
        <v>0</v>
      </c>
      <c r="BB60" s="100">
        <f t="shared" si="13"/>
        <v>0</v>
      </c>
      <c r="BC60" s="100">
        <f t="shared" si="14"/>
        <v>0</v>
      </c>
      <c r="BE60" s="96">
        <f t="shared" si="117"/>
        <v>0</v>
      </c>
      <c r="BG60" t="str">
        <f>E60</f>
        <v>LGVs_Operating costs_Private_Sector</v>
      </c>
      <c r="BJ60" s="133">
        <f t="shared" si="28"/>
        <v>0</v>
      </c>
      <c r="BK60" s="133">
        <f t="shared" si="17"/>
        <v>0</v>
      </c>
      <c r="BL60" s="133">
        <f t="shared" si="18"/>
        <v>0</v>
      </c>
      <c r="BM60" s="133">
        <f t="shared" si="19"/>
        <v>0</v>
      </c>
      <c r="BN60" s="133">
        <f t="shared" si="20"/>
        <v>0</v>
      </c>
      <c r="BO60" s="133">
        <f t="shared" si="21"/>
        <v>0</v>
      </c>
      <c r="BP60" s="133">
        <f t="shared" si="22"/>
        <v>0</v>
      </c>
      <c r="BR60" s="815"/>
    </row>
    <row r="61" spans="1:70" ht="15" customHeight="1" x14ac:dyDescent="0.25">
      <c r="A61" s="64">
        <v>3</v>
      </c>
      <c r="B61" s="60" t="s">
        <v>26</v>
      </c>
      <c r="C61" s="27" t="s">
        <v>247</v>
      </c>
      <c r="D61" s="27" t="s">
        <v>483</v>
      </c>
      <c r="E61" s="27" t="str">
        <f t="shared" si="31"/>
        <v>LGVs_CAZ Charges Paid_Private_Sector</v>
      </c>
      <c r="F61" s="27" t="str">
        <f t="shared" si="4"/>
        <v>LGVs_Private_Sector</v>
      </c>
      <c r="G61" s="37" t="s">
        <v>570</v>
      </c>
      <c r="H61" s="331" t="str">
        <f t="shared" si="5"/>
        <v>LGVs_Private_Sector_Ignore</v>
      </c>
      <c r="I61" s="331">
        <v>55</v>
      </c>
      <c r="J61" s="4">
        <f t="shared" si="85"/>
        <v>0</v>
      </c>
      <c r="K61" s="27"/>
      <c r="L61" s="62"/>
      <c r="M61" s="62"/>
      <c r="N61" s="122">
        <f>CALC_Current_option!C179*N$4</f>
        <v>4051500</v>
      </c>
      <c r="O61" s="122">
        <f>CALC_Current_option!D179*O$4</f>
        <v>3611066.6666666665</v>
      </c>
      <c r="P61" s="122">
        <f>CALC_Current_option!E179*P$4</f>
        <v>3170633.3333333335</v>
      </c>
      <c r="Q61" s="122">
        <f>CALC_Current_option!F179*Q$4</f>
        <v>2737680.0000000005</v>
      </c>
      <c r="R61" s="30"/>
      <c r="S61" s="62">
        <f t="shared" si="29"/>
        <v>13570880</v>
      </c>
      <c r="T61" s="67">
        <f t="shared" si="178"/>
        <v>12058357.612732142</v>
      </c>
      <c r="U61" s="62"/>
      <c r="W61" s="13"/>
      <c r="X61" s="14"/>
      <c r="Y61" s="14"/>
      <c r="Z61" s="20"/>
      <c r="AA61" s="20"/>
      <c r="AB61" s="14"/>
      <c r="AC61" s="660">
        <f>1-Z61</f>
        <v>1</v>
      </c>
      <c r="AD61" s="15"/>
      <c r="AE61" s="32"/>
      <c r="AF61" s="32"/>
      <c r="AH61" s="284">
        <f t="shared" si="25"/>
        <v>55</v>
      </c>
      <c r="AI61" s="90">
        <f t="shared" si="179"/>
        <v>0</v>
      </c>
      <c r="AJ61" s="91">
        <f t="shared" si="179"/>
        <v>0</v>
      </c>
      <c r="AK61" s="91">
        <f t="shared" si="179"/>
        <v>0</v>
      </c>
      <c r="AL61" s="91">
        <f t="shared" si="179"/>
        <v>0</v>
      </c>
      <c r="AM61" s="91">
        <f t="shared" si="179"/>
        <v>0</v>
      </c>
      <c r="AN61" s="91">
        <f t="shared" si="179"/>
        <v>0</v>
      </c>
      <c r="AO61" s="91">
        <f t="shared" si="179"/>
        <v>13570880</v>
      </c>
      <c r="AP61" s="50">
        <f t="shared" si="179"/>
        <v>0</v>
      </c>
      <c r="AQ61" s="770"/>
      <c r="AR61" s="4">
        <f t="shared" si="26"/>
        <v>13570880</v>
      </c>
      <c r="AT61" s="4"/>
      <c r="AV61" s="131">
        <f t="shared" si="27"/>
        <v>0</v>
      </c>
      <c r="AW61" s="100">
        <f t="shared" si="8"/>
        <v>0</v>
      </c>
      <c r="AX61" s="100">
        <f t="shared" si="9"/>
        <v>0</v>
      </c>
      <c r="AY61" s="100">
        <f t="shared" si="10"/>
        <v>0</v>
      </c>
      <c r="AZ61" s="100">
        <f t="shared" si="11"/>
        <v>0</v>
      </c>
      <c r="BA61" s="100">
        <f t="shared" si="12"/>
        <v>0</v>
      </c>
      <c r="BB61" s="100">
        <f t="shared" si="13"/>
        <v>12058357.612732142</v>
      </c>
      <c r="BC61" s="100">
        <f t="shared" si="14"/>
        <v>0</v>
      </c>
      <c r="BE61" s="96">
        <f t="shared" si="117"/>
        <v>12058357.612732142</v>
      </c>
      <c r="BG61" t="str">
        <f>E61</f>
        <v>LGVs_CAZ Charges Paid_Private_Sector</v>
      </c>
      <c r="BJ61" s="133">
        <f t="shared" si="28"/>
        <v>0</v>
      </c>
      <c r="BK61" s="133">
        <f t="shared" si="17"/>
        <v>0</v>
      </c>
      <c r="BL61" s="133">
        <f t="shared" si="18"/>
        <v>0</v>
      </c>
      <c r="BM61" s="133">
        <f t="shared" si="19"/>
        <v>0</v>
      </c>
      <c r="BN61" s="133">
        <f t="shared" si="20"/>
        <v>0</v>
      </c>
      <c r="BO61" s="133">
        <f t="shared" si="21"/>
        <v>0</v>
      </c>
      <c r="BP61" s="133">
        <f t="shared" si="22"/>
        <v>0</v>
      </c>
      <c r="BR61" s="815"/>
    </row>
    <row r="62" spans="1:70" ht="30" customHeight="1" x14ac:dyDescent="0.25">
      <c r="A62" s="64">
        <v>4</v>
      </c>
      <c r="B62" s="60" t="s">
        <v>26</v>
      </c>
      <c r="C62" s="27" t="s">
        <v>485</v>
      </c>
      <c r="D62" s="27" t="s">
        <v>483</v>
      </c>
      <c r="E62" s="27" t="str">
        <f t="shared" ref="E62:E63" si="180">CONCATENATE(B62,"_",C62,"_",D62)</f>
        <v>LGVs_Incentives received by LGV Owners_Private_Sector</v>
      </c>
      <c r="F62" s="27" t="str">
        <f t="shared" ref="F62" si="181">CONCATENATE(B62,"_",D62)</f>
        <v>LGVs_Private_Sector</v>
      </c>
      <c r="G62" s="37" t="s">
        <v>570</v>
      </c>
      <c r="H62" s="331" t="str">
        <f t="shared" si="5"/>
        <v>LGVs_Private_Sector_Ignore</v>
      </c>
      <c r="I62" s="331">
        <v>56</v>
      </c>
      <c r="J62" s="4">
        <f t="shared" si="85"/>
        <v>0</v>
      </c>
      <c r="K62" s="27"/>
      <c r="L62" s="62">
        <f>L57*-CALC_Current_option!$C$183</f>
        <v>-410000</v>
      </c>
      <c r="M62" s="62">
        <f>M57*-CALC_Current_option!$C$183</f>
        <v>-1230000</v>
      </c>
      <c r="N62" s="62">
        <f>N57*-CALC_Current_option!$C$183</f>
        <v>-410000</v>
      </c>
      <c r="O62" s="62"/>
      <c r="P62" s="62"/>
      <c r="Q62" s="62"/>
      <c r="R62" s="30"/>
      <c r="S62" s="62">
        <f t="shared" ref="S62" si="182">SUM(L62:R62)</f>
        <v>-2050000</v>
      </c>
      <c r="T62" s="67">
        <f t="shared" si="178"/>
        <v>-1978752.25</v>
      </c>
      <c r="U62" s="62"/>
      <c r="W62" s="13"/>
      <c r="X62" s="14"/>
      <c r="Y62" s="14"/>
      <c r="Z62" s="20"/>
      <c r="AA62" s="20"/>
      <c r="AB62" s="14"/>
      <c r="AC62" s="660">
        <f>1-Z62</f>
        <v>1</v>
      </c>
      <c r="AD62" s="15"/>
      <c r="AE62" s="32"/>
      <c r="AF62" s="32"/>
      <c r="AH62" s="284">
        <f t="shared" si="25"/>
        <v>56</v>
      </c>
      <c r="AI62" s="90">
        <f t="shared" si="179"/>
        <v>0</v>
      </c>
      <c r="AJ62" s="91">
        <f t="shared" si="179"/>
        <v>0</v>
      </c>
      <c r="AK62" s="91">
        <f t="shared" si="179"/>
        <v>0</v>
      </c>
      <c r="AL62" s="91">
        <f t="shared" si="179"/>
        <v>0</v>
      </c>
      <c r="AM62" s="91">
        <f t="shared" si="179"/>
        <v>0</v>
      </c>
      <c r="AN62" s="91">
        <f t="shared" si="179"/>
        <v>0</v>
      </c>
      <c r="AO62" s="91">
        <f t="shared" si="179"/>
        <v>-2050000</v>
      </c>
      <c r="AP62" s="50">
        <f t="shared" si="179"/>
        <v>0</v>
      </c>
      <c r="AQ62" s="770"/>
      <c r="AR62" s="4">
        <f t="shared" ref="AR62" si="183">SUM(AI62:AP62)</f>
        <v>-2050000</v>
      </c>
      <c r="AT62" s="4"/>
      <c r="AV62" s="131">
        <f t="shared" ref="AV62" si="184">$T62*W62</f>
        <v>0</v>
      </c>
      <c r="AW62" s="100">
        <f t="shared" ref="AW62" si="185">$T62*X62</f>
        <v>0</v>
      </c>
      <c r="AX62" s="100">
        <f t="shared" ref="AX62" si="186">$T62*Y62</f>
        <v>0</v>
      </c>
      <c r="AY62" s="100">
        <f t="shared" ref="AY62" si="187">$T62*Z62</f>
        <v>0</v>
      </c>
      <c r="AZ62" s="100">
        <f t="shared" ref="AZ62" si="188">$T62*AA62</f>
        <v>0</v>
      </c>
      <c r="BA62" s="100">
        <f t="shared" ref="BA62" si="189">$T62*AB62</f>
        <v>0</v>
      </c>
      <c r="BB62" s="100">
        <f t="shared" ref="BB62" si="190">$T62*AC62</f>
        <v>-1978752.25</v>
      </c>
      <c r="BC62" s="100">
        <f t="shared" ref="BC62" si="191">$T62*AD62</f>
        <v>0</v>
      </c>
      <c r="BE62" s="96">
        <f t="shared" si="117"/>
        <v>-1978752.25</v>
      </c>
      <c r="BG62" t="str">
        <f>E62</f>
        <v>LGVs_Incentives received by LGV Owners_Private_Sector</v>
      </c>
      <c r="BJ62" s="133">
        <f t="shared" si="28"/>
        <v>0</v>
      </c>
      <c r="BK62" s="133">
        <f t="shared" si="17"/>
        <v>0</v>
      </c>
      <c r="BL62" s="133">
        <f t="shared" si="18"/>
        <v>0</v>
      </c>
      <c r="BM62" s="133">
        <f t="shared" si="19"/>
        <v>0</v>
      </c>
      <c r="BN62" s="133">
        <f t="shared" si="20"/>
        <v>0</v>
      </c>
      <c r="BO62" s="133">
        <f t="shared" si="21"/>
        <v>0</v>
      </c>
      <c r="BP62" s="133">
        <f t="shared" si="22"/>
        <v>0</v>
      </c>
      <c r="BR62" s="815"/>
    </row>
    <row r="63" spans="1:70" ht="30" x14ac:dyDescent="0.25">
      <c r="A63" s="64">
        <v>5</v>
      </c>
      <c r="B63" s="60" t="s">
        <v>26</v>
      </c>
      <c r="C63" s="27" t="s">
        <v>484</v>
      </c>
      <c r="D63" s="27" t="s">
        <v>37</v>
      </c>
      <c r="E63" s="27" t="str">
        <f t="shared" si="180"/>
        <v>LGVs_Funding for the incentives to LGV Owners_SCC</v>
      </c>
      <c r="F63" s="27" t="str">
        <f t="shared" ref="F63" si="192">CONCATENATE(B63,"_",D63)</f>
        <v>LGVs_SCC</v>
      </c>
      <c r="G63" s="37" t="s">
        <v>523</v>
      </c>
      <c r="H63" s="331" t="str">
        <f t="shared" si="5"/>
        <v>LGVs_SCC_capex</v>
      </c>
      <c r="I63" s="331">
        <v>57</v>
      </c>
      <c r="J63" s="4">
        <f t="shared" si="85"/>
        <v>2050000</v>
      </c>
      <c r="K63" s="27"/>
      <c r="L63" s="62">
        <f>-L62</f>
        <v>410000</v>
      </c>
      <c r="M63" s="62">
        <f t="shared" ref="M63:N63" si="193">-M62</f>
        <v>1230000</v>
      </c>
      <c r="N63" s="62">
        <f t="shared" si="193"/>
        <v>410000</v>
      </c>
      <c r="O63" s="62"/>
      <c r="P63" s="62"/>
      <c r="Q63" s="62"/>
      <c r="R63" s="30"/>
      <c r="S63" s="62">
        <f t="shared" ref="S63" si="194">SUM(L63:R63)</f>
        <v>2050000</v>
      </c>
      <c r="T63" s="67">
        <f t="shared" si="178"/>
        <v>1978752.25</v>
      </c>
      <c r="U63" s="62"/>
      <c r="W63" s="13"/>
      <c r="X63" s="14"/>
      <c r="Y63" s="14"/>
      <c r="Z63" s="661">
        <v>1</v>
      </c>
      <c r="AA63" s="20"/>
      <c r="AB63" s="14"/>
      <c r="AC63" s="58">
        <f>1-Z63</f>
        <v>0</v>
      </c>
      <c r="AD63" s="15"/>
      <c r="AE63" s="32"/>
      <c r="AF63" s="32"/>
      <c r="AH63" s="284">
        <f t="shared" si="25"/>
        <v>57</v>
      </c>
      <c r="AI63" s="90">
        <f t="shared" si="179"/>
        <v>0</v>
      </c>
      <c r="AJ63" s="91">
        <f t="shared" si="179"/>
        <v>0</v>
      </c>
      <c r="AK63" s="91">
        <f t="shared" si="179"/>
        <v>0</v>
      </c>
      <c r="AL63" s="91">
        <f t="shared" si="179"/>
        <v>2050000</v>
      </c>
      <c r="AM63" s="91">
        <f t="shared" si="179"/>
        <v>0</v>
      </c>
      <c r="AN63" s="91">
        <f t="shared" si="179"/>
        <v>0</v>
      </c>
      <c r="AO63" s="91">
        <f t="shared" si="179"/>
        <v>0</v>
      </c>
      <c r="AP63" s="50">
        <f t="shared" si="179"/>
        <v>0</v>
      </c>
      <c r="AQ63" s="770"/>
      <c r="AR63" s="4">
        <f t="shared" ref="AR63" si="195">SUM(AI63:AP63)</f>
        <v>2050000</v>
      </c>
      <c r="AT63" s="4"/>
      <c r="AV63" s="131">
        <f t="shared" ref="AV63" si="196">$T63*W63</f>
        <v>0</v>
      </c>
      <c r="AW63" s="100">
        <f t="shared" ref="AW63" si="197">$T63*X63</f>
        <v>0</v>
      </c>
      <c r="AX63" s="100">
        <f t="shared" ref="AX63" si="198">$T63*Y63</f>
        <v>0</v>
      </c>
      <c r="AY63" s="100">
        <f t="shared" ref="AY63" si="199">$T63*Z63</f>
        <v>1978752.25</v>
      </c>
      <c r="AZ63" s="100">
        <f t="shared" ref="AZ63" si="200">$T63*AA63</f>
        <v>0</v>
      </c>
      <c r="BA63" s="100">
        <f t="shared" ref="BA63" si="201">$T63*AB63</f>
        <v>0</v>
      </c>
      <c r="BB63" s="100">
        <f t="shared" ref="BB63" si="202">$T63*AC63</f>
        <v>0</v>
      </c>
      <c r="BC63" s="100">
        <f t="shared" ref="BC63" si="203">$T63*AD63</f>
        <v>0</v>
      </c>
      <c r="BE63" s="96">
        <f t="shared" si="117"/>
        <v>1978752.25</v>
      </c>
      <c r="BG63" t="str">
        <f>E63</f>
        <v>LGVs_Funding for the incentives to LGV Owners_SCC</v>
      </c>
      <c r="BJ63" s="133">
        <f t="shared" si="28"/>
        <v>0</v>
      </c>
      <c r="BK63" s="133">
        <f t="shared" si="17"/>
        <v>0</v>
      </c>
      <c r="BL63" s="133">
        <f t="shared" si="18"/>
        <v>0</v>
      </c>
      <c r="BM63" s="133">
        <f t="shared" si="19"/>
        <v>0</v>
      </c>
      <c r="BN63" s="133">
        <f t="shared" si="20"/>
        <v>0</v>
      </c>
      <c r="BO63" s="133">
        <f t="shared" si="21"/>
        <v>0</v>
      </c>
      <c r="BP63" s="133">
        <f t="shared" si="22"/>
        <v>0</v>
      </c>
      <c r="BR63" s="815"/>
    </row>
    <row r="64" spans="1:70" ht="45" customHeight="1" x14ac:dyDescent="0.25">
      <c r="A64" s="64"/>
      <c r="B64" s="60"/>
      <c r="C64" s="27" t="s">
        <v>302</v>
      </c>
      <c r="D64" s="27"/>
      <c r="E64" s="27"/>
      <c r="F64" s="27"/>
      <c r="G64" s="23"/>
      <c r="H64" s="331"/>
      <c r="I64" s="331">
        <v>58</v>
      </c>
      <c r="J64" s="4">
        <f t="shared" ref="J64:J95" si="204">SUM(AI64:AP64)-AO64-AP64</f>
        <v>0</v>
      </c>
      <c r="K64" s="27"/>
      <c r="L64" s="62"/>
      <c r="M64" s="62"/>
      <c r="N64" s="62"/>
      <c r="O64" s="62"/>
      <c r="P64" s="62"/>
      <c r="Q64" s="62"/>
      <c r="R64" s="62"/>
      <c r="S64" s="62"/>
      <c r="T64" s="67"/>
      <c r="U64" s="62"/>
      <c r="W64" s="33"/>
      <c r="X64" s="34"/>
      <c r="Y64" s="34"/>
      <c r="Z64" s="68"/>
      <c r="AA64" s="68"/>
      <c r="AB64" s="34"/>
      <c r="AC64" s="69"/>
      <c r="AD64" s="35"/>
      <c r="AE64" s="32"/>
      <c r="AF64" s="32"/>
      <c r="AH64" s="284">
        <f t="shared" si="25"/>
        <v>58</v>
      </c>
      <c r="AI64" s="90"/>
      <c r="AJ64" s="91"/>
      <c r="AK64" s="91"/>
      <c r="AL64" s="91"/>
      <c r="AM64" s="91"/>
      <c r="AN64" s="91"/>
      <c r="AO64" s="91"/>
      <c r="AP64" s="50"/>
      <c r="AQ64" s="770"/>
      <c r="AR64" s="4"/>
      <c r="AT64" s="4"/>
      <c r="AV64" s="131">
        <f t="shared" si="27"/>
        <v>0</v>
      </c>
      <c r="AW64" s="100">
        <f t="shared" si="8"/>
        <v>0</v>
      </c>
      <c r="AX64" s="100">
        <f t="shared" si="9"/>
        <v>0</v>
      </c>
      <c r="AY64" s="100">
        <f t="shared" si="10"/>
        <v>0</v>
      </c>
      <c r="AZ64" s="100">
        <f t="shared" si="11"/>
        <v>0</v>
      </c>
      <c r="BA64" s="100">
        <f t="shared" si="12"/>
        <v>0</v>
      </c>
      <c r="BB64" s="100">
        <f t="shared" si="13"/>
        <v>0</v>
      </c>
      <c r="BC64" s="100">
        <f t="shared" si="14"/>
        <v>0</v>
      </c>
      <c r="BE64" s="96">
        <f t="shared" si="117"/>
        <v>0</v>
      </c>
      <c r="BJ64" s="133"/>
      <c r="BK64" s="133"/>
      <c r="BL64" s="133"/>
      <c r="BM64" s="133"/>
      <c r="BN64" s="133"/>
      <c r="BO64" s="133"/>
      <c r="BP64" s="133"/>
      <c r="BR64" s="815"/>
    </row>
    <row r="65" spans="1:70" ht="15" customHeight="1" x14ac:dyDescent="0.25">
      <c r="A65" s="64"/>
      <c r="B65" s="60"/>
      <c r="C65" s="27"/>
      <c r="D65" s="27"/>
      <c r="E65" s="27"/>
      <c r="F65" s="27"/>
      <c r="G65" s="23"/>
      <c r="H65" s="331"/>
      <c r="I65" s="331">
        <v>59</v>
      </c>
      <c r="J65" s="4">
        <f t="shared" si="204"/>
        <v>0</v>
      </c>
      <c r="K65" s="27"/>
      <c r="L65" s="62"/>
      <c r="M65" s="62"/>
      <c r="N65" s="62"/>
      <c r="O65" s="62"/>
      <c r="P65" s="62"/>
      <c r="Q65" s="62"/>
      <c r="R65" s="62"/>
      <c r="S65" s="62"/>
      <c r="T65" s="67"/>
      <c r="U65" s="62"/>
      <c r="W65" s="33"/>
      <c r="X65" s="34"/>
      <c r="Y65" s="34"/>
      <c r="Z65" s="34"/>
      <c r="AA65" s="34"/>
      <c r="AB65" s="34"/>
      <c r="AC65" s="34"/>
      <c r="AD65" s="35"/>
      <c r="AE65" s="32"/>
      <c r="AF65" s="32"/>
      <c r="AH65" s="284">
        <f t="shared" si="25"/>
        <v>59</v>
      </c>
      <c r="AI65" s="90"/>
      <c r="AJ65" s="91"/>
      <c r="AK65" s="91"/>
      <c r="AL65" s="91"/>
      <c r="AM65" s="91"/>
      <c r="AN65" s="91"/>
      <c r="AO65" s="91"/>
      <c r="AP65" s="50"/>
      <c r="AQ65" s="770"/>
      <c r="AR65" s="4"/>
      <c r="AT65" s="4"/>
      <c r="AV65" s="131"/>
      <c r="AW65" s="100"/>
      <c r="AX65" s="100"/>
      <c r="AY65" s="100"/>
      <c r="AZ65" s="100"/>
      <c r="BA65" s="100"/>
      <c r="BB65" s="100"/>
      <c r="BC65" s="100"/>
      <c r="BE65" s="96"/>
      <c r="BJ65" s="133"/>
      <c r="BK65" s="133"/>
      <c r="BL65" s="133"/>
      <c r="BM65" s="133"/>
      <c r="BN65" s="133"/>
      <c r="BO65" s="133"/>
      <c r="BP65" s="133"/>
      <c r="BR65" s="815"/>
    </row>
    <row r="66" spans="1:70" ht="15" customHeight="1" thickBot="1" x14ac:dyDescent="0.3">
      <c r="A66" s="64"/>
      <c r="B66" s="120" t="s">
        <v>27</v>
      </c>
      <c r="C66" s="27"/>
      <c r="D66" s="27"/>
      <c r="E66" s="27"/>
      <c r="F66" s="27"/>
      <c r="G66" s="23"/>
      <c r="H66" s="331" t="str">
        <f t="shared" si="5"/>
        <v>HGVs__</v>
      </c>
      <c r="I66" s="331">
        <v>60</v>
      </c>
      <c r="J66" s="4">
        <f t="shared" si="204"/>
        <v>0</v>
      </c>
      <c r="K66" s="27"/>
      <c r="L66" s="62"/>
      <c r="M66" s="62"/>
      <c r="N66" s="62"/>
      <c r="O66" s="62"/>
      <c r="P66" s="62"/>
      <c r="Q66" s="62"/>
      <c r="R66" s="62"/>
      <c r="S66" s="62"/>
      <c r="T66" s="67"/>
      <c r="U66" s="62"/>
      <c r="W66" s="33"/>
      <c r="X66" s="34"/>
      <c r="Y66" s="34"/>
      <c r="Z66" s="34"/>
      <c r="AA66" s="34"/>
      <c r="AB66" s="34"/>
      <c r="AC66" s="34"/>
      <c r="AD66" s="35"/>
      <c r="AE66" s="32"/>
      <c r="AF66" s="32"/>
      <c r="AH66" s="284">
        <f t="shared" si="25"/>
        <v>60</v>
      </c>
      <c r="AI66" s="90"/>
      <c r="AJ66" s="91"/>
      <c r="AK66" s="91"/>
      <c r="AL66" s="91"/>
      <c r="AM66" s="91"/>
      <c r="AN66" s="91"/>
      <c r="AO66" s="91"/>
      <c r="AP66" s="50"/>
      <c r="AQ66" s="770"/>
      <c r="AR66" s="4"/>
      <c r="AT66" s="4"/>
      <c r="AV66" s="131"/>
      <c r="AW66" s="100"/>
      <c r="AX66" s="100"/>
      <c r="AY66" s="100"/>
      <c r="AZ66" s="100"/>
      <c r="BA66" s="100"/>
      <c r="BB66" s="100"/>
      <c r="BC66" s="100"/>
      <c r="BE66" s="96"/>
      <c r="BJ66" s="133"/>
      <c r="BK66" s="133"/>
      <c r="BL66" s="133"/>
      <c r="BM66" s="133"/>
      <c r="BN66" s="133"/>
      <c r="BO66" s="133"/>
      <c r="BP66" s="133"/>
      <c r="BR66" s="815"/>
    </row>
    <row r="67" spans="1:70" ht="30.75" customHeight="1" thickBot="1" x14ac:dyDescent="0.3">
      <c r="A67" s="64">
        <v>1</v>
      </c>
      <c r="B67" s="60" t="s">
        <v>27</v>
      </c>
      <c r="C67" s="27" t="s">
        <v>7</v>
      </c>
      <c r="D67" s="27" t="s">
        <v>483</v>
      </c>
      <c r="E67" s="27" t="str">
        <f t="shared" si="31"/>
        <v>HGVs_Upgrading the HGV Fleet (to EURO 6)_Private_Sector</v>
      </c>
      <c r="F67" s="27" t="str">
        <f t="shared" si="4"/>
        <v>HGVs_Private_Sector</v>
      </c>
      <c r="G67" s="37" t="s">
        <v>570</v>
      </c>
      <c r="H67" s="331" t="str">
        <f t="shared" si="5"/>
        <v>HGVs_Private_Sector_Ignore</v>
      </c>
      <c r="I67" s="331">
        <v>61</v>
      </c>
      <c r="J67" s="4">
        <f t="shared" si="204"/>
        <v>0</v>
      </c>
      <c r="K67" s="27"/>
      <c r="L67" s="44">
        <f>CALC_Current_option!$C$197*L$57</f>
        <v>8800000</v>
      </c>
      <c r="M67" s="44">
        <f>CALC_Current_option!$C$197*M$57</f>
        <v>26400000</v>
      </c>
      <c r="N67" s="44">
        <f>CALC_Current_option!$C$197*N$57</f>
        <v>8800000</v>
      </c>
      <c r="O67" s="44">
        <f>CALC_Current_option!$C$197*O$57</f>
        <v>0</v>
      </c>
      <c r="P67" s="44">
        <f>CALC_Current_option!$C$197*P$57</f>
        <v>0</v>
      </c>
      <c r="Q67" s="44">
        <f>CALC_Current_option!$C$197*Q$57</f>
        <v>0</v>
      </c>
      <c r="R67" s="62">
        <f>-CALC_Current_option!$C$208</f>
        <v>-44000000</v>
      </c>
      <c r="S67" s="62">
        <f t="shared" si="29"/>
        <v>0</v>
      </c>
      <c r="T67" s="67">
        <f t="shared" ref="T67:T69" si="205">SUMPRODUCT(L67:R67,$L$3:$R$3)</f>
        <v>6939033.3723913208</v>
      </c>
      <c r="U67" s="62"/>
      <c r="W67" s="13"/>
      <c r="X67" s="14"/>
      <c r="Y67" s="14"/>
      <c r="Z67" s="14"/>
      <c r="AA67" s="14"/>
      <c r="AB67" s="14"/>
      <c r="AC67" s="660">
        <f>1-Z67</f>
        <v>1</v>
      </c>
      <c r="AD67" s="15"/>
      <c r="AE67" s="32"/>
      <c r="AF67" s="32"/>
      <c r="AH67" s="284">
        <f t="shared" si="25"/>
        <v>61</v>
      </c>
      <c r="AI67" s="90">
        <f t="shared" ref="AI67:AP69" si="206">$S67*W67</f>
        <v>0</v>
      </c>
      <c r="AJ67" s="91">
        <f t="shared" si="206"/>
        <v>0</v>
      </c>
      <c r="AK67" s="91">
        <f t="shared" si="206"/>
        <v>0</v>
      </c>
      <c r="AL67" s="91">
        <f t="shared" si="206"/>
        <v>0</v>
      </c>
      <c r="AM67" s="91">
        <f t="shared" si="206"/>
        <v>0</v>
      </c>
      <c r="AN67" s="91">
        <f t="shared" si="206"/>
        <v>0</v>
      </c>
      <c r="AO67" s="91">
        <f t="shared" si="206"/>
        <v>0</v>
      </c>
      <c r="AP67" s="50">
        <f t="shared" si="206"/>
        <v>0</v>
      </c>
      <c r="AQ67" s="770"/>
      <c r="AR67" s="4">
        <f t="shared" si="26"/>
        <v>0</v>
      </c>
      <c r="AT67" s="4"/>
      <c r="AV67" s="131">
        <f t="shared" si="27"/>
        <v>0</v>
      </c>
      <c r="AW67" s="100">
        <f t="shared" si="8"/>
        <v>0</v>
      </c>
      <c r="AX67" s="100">
        <f t="shared" si="9"/>
        <v>0</v>
      </c>
      <c r="AY67" s="100">
        <f t="shared" si="10"/>
        <v>0</v>
      </c>
      <c r="AZ67" s="100">
        <f t="shared" si="11"/>
        <v>0</v>
      </c>
      <c r="BA67" s="100">
        <f t="shared" si="12"/>
        <v>0</v>
      </c>
      <c r="BB67" s="100">
        <f t="shared" si="13"/>
        <v>6939033.3723913208</v>
      </c>
      <c r="BC67" s="100">
        <f t="shared" si="14"/>
        <v>0</v>
      </c>
      <c r="BE67" s="96">
        <f t="shared" si="117"/>
        <v>6939033.3723913208</v>
      </c>
      <c r="BG67" t="str">
        <f>E67</f>
        <v>HGVs_Upgrading the HGV Fleet (to EURO 6)_Private_Sector</v>
      </c>
      <c r="BJ67" s="133">
        <f t="shared" si="28"/>
        <v>0</v>
      </c>
      <c r="BK67" s="133">
        <f t="shared" si="17"/>
        <v>0</v>
      </c>
      <c r="BL67" s="133">
        <f t="shared" si="18"/>
        <v>0</v>
      </c>
      <c r="BM67" s="133">
        <f t="shared" si="19"/>
        <v>0</v>
      </c>
      <c r="BN67" s="133">
        <f t="shared" si="20"/>
        <v>0</v>
      </c>
      <c r="BO67" s="133">
        <f t="shared" si="21"/>
        <v>0</v>
      </c>
      <c r="BP67" s="133">
        <f t="shared" si="22"/>
        <v>0</v>
      </c>
      <c r="BR67" s="815"/>
    </row>
    <row r="68" spans="1:70" ht="15" customHeight="1" x14ac:dyDescent="0.25">
      <c r="A68" s="64">
        <v>2</v>
      </c>
      <c r="B68" s="60" t="s">
        <v>27</v>
      </c>
      <c r="C68" s="27" t="s">
        <v>221</v>
      </c>
      <c r="D68" s="27" t="s">
        <v>483</v>
      </c>
      <c r="E68" s="27" t="str">
        <f t="shared" si="31"/>
        <v>HGVs_Operating Costs_Private_Sector</v>
      </c>
      <c r="F68" s="27" t="str">
        <f t="shared" si="4"/>
        <v>HGVs_Private_Sector</v>
      </c>
      <c r="G68" s="37" t="s">
        <v>570</v>
      </c>
      <c r="H68" s="331" t="str">
        <f t="shared" si="5"/>
        <v>HGVs_Private_Sector_Ignore</v>
      </c>
      <c r="I68" s="331">
        <v>62</v>
      </c>
      <c r="J68" s="4">
        <f t="shared" si="204"/>
        <v>0</v>
      </c>
      <c r="K68" s="27"/>
      <c r="L68" s="122">
        <f>-CALC_Current_option!$C$200*L$58*L$4</f>
        <v>0</v>
      </c>
      <c r="M68" s="122">
        <f>-CALC_Current_option!$C$200*M$58*M$4</f>
        <v>0</v>
      </c>
      <c r="N68" s="122">
        <f>-CALC_Current_option!$C$200*N$58*N$4</f>
        <v>0</v>
      </c>
      <c r="O68" s="122">
        <f>-CALC_Current_option!$C$200*O$58*O$4</f>
        <v>0</v>
      </c>
      <c r="P68" s="122">
        <f>-CALC_Current_option!$C$200*P$58*P$4</f>
        <v>0</v>
      </c>
      <c r="Q68" s="122">
        <f>-CALC_Current_option!$C$200*Q$58*Q$4</f>
        <v>0</v>
      </c>
      <c r="R68" s="62"/>
      <c r="S68" s="62">
        <f t="shared" si="29"/>
        <v>0</v>
      </c>
      <c r="T68" s="67">
        <f t="shared" si="205"/>
        <v>0</v>
      </c>
      <c r="U68" s="62"/>
      <c r="W68" s="13"/>
      <c r="X68" s="14"/>
      <c r="Y68" s="14"/>
      <c r="Z68" s="14"/>
      <c r="AA68" s="14"/>
      <c r="AB68" s="14"/>
      <c r="AC68" s="660">
        <f>1-Z68</f>
        <v>1</v>
      </c>
      <c r="AD68" s="15"/>
      <c r="AE68" s="32"/>
      <c r="AF68" s="32"/>
      <c r="AH68" s="284">
        <f t="shared" si="25"/>
        <v>62</v>
      </c>
      <c r="AI68" s="90">
        <f t="shared" si="206"/>
        <v>0</v>
      </c>
      <c r="AJ68" s="91">
        <f t="shared" si="206"/>
        <v>0</v>
      </c>
      <c r="AK68" s="91">
        <f t="shared" si="206"/>
        <v>0</v>
      </c>
      <c r="AL68" s="91">
        <f t="shared" si="206"/>
        <v>0</v>
      </c>
      <c r="AM68" s="91">
        <f t="shared" si="206"/>
        <v>0</v>
      </c>
      <c r="AN68" s="91">
        <f t="shared" si="206"/>
        <v>0</v>
      </c>
      <c r="AO68" s="91">
        <f t="shared" si="206"/>
        <v>0</v>
      </c>
      <c r="AP68" s="50">
        <f t="shared" si="206"/>
        <v>0</v>
      </c>
      <c r="AQ68" s="770"/>
      <c r="AR68" s="4">
        <f t="shared" si="26"/>
        <v>0</v>
      </c>
      <c r="AT68" s="4"/>
      <c r="AV68" s="131">
        <f t="shared" si="27"/>
        <v>0</v>
      </c>
      <c r="AW68" s="100">
        <f t="shared" si="8"/>
        <v>0</v>
      </c>
      <c r="AX68" s="100">
        <f t="shared" si="9"/>
        <v>0</v>
      </c>
      <c r="AY68" s="100">
        <f t="shared" si="10"/>
        <v>0</v>
      </c>
      <c r="AZ68" s="100">
        <f t="shared" si="11"/>
        <v>0</v>
      </c>
      <c r="BA68" s="100">
        <f t="shared" si="12"/>
        <v>0</v>
      </c>
      <c r="BB68" s="100">
        <f t="shared" si="13"/>
        <v>0</v>
      </c>
      <c r="BC68" s="100">
        <f t="shared" si="14"/>
        <v>0</v>
      </c>
      <c r="BE68" s="96">
        <f t="shared" si="117"/>
        <v>0</v>
      </c>
      <c r="BG68" t="str">
        <f>E68</f>
        <v>HGVs_Operating Costs_Private_Sector</v>
      </c>
      <c r="BJ68" s="133">
        <f t="shared" si="28"/>
        <v>0</v>
      </c>
      <c r="BK68" s="133">
        <f t="shared" si="17"/>
        <v>0</v>
      </c>
      <c r="BL68" s="133">
        <f t="shared" si="18"/>
        <v>0</v>
      </c>
      <c r="BM68" s="133">
        <f t="shared" si="19"/>
        <v>0</v>
      </c>
      <c r="BN68" s="133">
        <f t="shared" si="20"/>
        <v>0</v>
      </c>
      <c r="BO68" s="133">
        <f t="shared" si="21"/>
        <v>0</v>
      </c>
      <c r="BP68" s="133">
        <f t="shared" si="22"/>
        <v>0</v>
      </c>
      <c r="BR68" s="815"/>
    </row>
    <row r="69" spans="1:70" ht="15" customHeight="1" x14ac:dyDescent="0.25">
      <c r="A69" s="64">
        <v>3</v>
      </c>
      <c r="B69" s="60" t="s">
        <v>27</v>
      </c>
      <c r="C69" s="27" t="s">
        <v>247</v>
      </c>
      <c r="D69" s="27" t="s">
        <v>483</v>
      </c>
      <c r="E69" s="27" t="str">
        <f t="shared" ref="E69" si="207">CONCATENATE(B69,"_",C69,"_",D69)</f>
        <v>HGVs_CAZ Charges Paid_Private_Sector</v>
      </c>
      <c r="F69" s="27" t="str">
        <f t="shared" si="4"/>
        <v>HGVs_Private_Sector</v>
      </c>
      <c r="G69" s="37" t="s">
        <v>570</v>
      </c>
      <c r="H69" s="331" t="str">
        <f t="shared" si="5"/>
        <v>HGVs_Private_Sector_Ignore</v>
      </c>
      <c r="I69" s="331">
        <v>63</v>
      </c>
      <c r="J69" s="4">
        <f t="shared" si="204"/>
        <v>0</v>
      </c>
      <c r="K69" s="27"/>
      <c r="L69" s="62"/>
      <c r="M69" s="62"/>
      <c r="N69" s="122">
        <f>CALC_Current_option!C212*N$4</f>
        <v>894250</v>
      </c>
      <c r="O69" s="122">
        <f>CALC_Current_option!D212*O$4</f>
        <v>833416.66666666663</v>
      </c>
      <c r="P69" s="122">
        <f>CALC_Current_option!E212*P$4</f>
        <v>772583.33333333337</v>
      </c>
      <c r="Q69" s="122">
        <f>CALC_Current_option!F212*Q$4</f>
        <v>713700.00000000012</v>
      </c>
      <c r="R69" s="62"/>
      <c r="S69" s="62">
        <f t="shared" si="29"/>
        <v>3213950</v>
      </c>
      <c r="T69" s="67">
        <f t="shared" si="205"/>
        <v>2848896.4055303978</v>
      </c>
      <c r="U69" s="62"/>
      <c r="W69" s="13"/>
      <c r="X69" s="14"/>
      <c r="Y69" s="14"/>
      <c r="Z69" s="14"/>
      <c r="AA69" s="14"/>
      <c r="AB69" s="14"/>
      <c r="AC69" s="660">
        <f>1-Z69</f>
        <v>1</v>
      </c>
      <c r="AD69" s="15"/>
      <c r="AE69" s="32"/>
      <c r="AF69" s="32"/>
      <c r="AH69" s="284">
        <f t="shared" si="25"/>
        <v>63</v>
      </c>
      <c r="AI69" s="90">
        <f t="shared" si="206"/>
        <v>0</v>
      </c>
      <c r="AJ69" s="91">
        <f t="shared" si="206"/>
        <v>0</v>
      </c>
      <c r="AK69" s="91">
        <f t="shared" si="206"/>
        <v>0</v>
      </c>
      <c r="AL69" s="91">
        <f t="shared" si="206"/>
        <v>0</v>
      </c>
      <c r="AM69" s="91">
        <f t="shared" si="206"/>
        <v>0</v>
      </c>
      <c r="AN69" s="91">
        <f t="shared" si="206"/>
        <v>0</v>
      </c>
      <c r="AO69" s="91">
        <f t="shared" si="206"/>
        <v>3213950</v>
      </c>
      <c r="AP69" s="50">
        <f t="shared" si="206"/>
        <v>0</v>
      </c>
      <c r="AQ69" s="770"/>
      <c r="AR69" s="4">
        <f t="shared" si="26"/>
        <v>3213950</v>
      </c>
      <c r="AT69" s="4"/>
      <c r="AV69" s="131">
        <f t="shared" si="27"/>
        <v>0</v>
      </c>
      <c r="AW69" s="100">
        <f t="shared" si="8"/>
        <v>0</v>
      </c>
      <c r="AX69" s="100">
        <f t="shared" si="9"/>
        <v>0</v>
      </c>
      <c r="AY69" s="100">
        <f t="shared" si="10"/>
        <v>0</v>
      </c>
      <c r="AZ69" s="100">
        <f t="shared" si="11"/>
        <v>0</v>
      </c>
      <c r="BA69" s="100">
        <f t="shared" si="12"/>
        <v>0</v>
      </c>
      <c r="BB69" s="100">
        <f t="shared" si="13"/>
        <v>2848896.4055303978</v>
      </c>
      <c r="BC69" s="100">
        <f t="shared" si="14"/>
        <v>0</v>
      </c>
      <c r="BE69" s="96">
        <f t="shared" si="117"/>
        <v>2848896.4055303978</v>
      </c>
      <c r="BG69" t="str">
        <f>E69</f>
        <v>HGVs_CAZ Charges Paid_Private_Sector</v>
      </c>
      <c r="BJ69" s="133">
        <f t="shared" si="28"/>
        <v>0</v>
      </c>
      <c r="BK69" s="133">
        <f t="shared" si="17"/>
        <v>0</v>
      </c>
      <c r="BL69" s="133">
        <f t="shared" si="18"/>
        <v>0</v>
      </c>
      <c r="BM69" s="133">
        <f t="shared" si="19"/>
        <v>0</v>
      </c>
      <c r="BN69" s="133">
        <f t="shared" si="20"/>
        <v>0</v>
      </c>
      <c r="BO69" s="133">
        <f t="shared" si="21"/>
        <v>0</v>
      </c>
      <c r="BP69" s="133">
        <f t="shared" si="22"/>
        <v>0</v>
      </c>
      <c r="BR69" s="815"/>
    </row>
    <row r="70" spans="1:70" ht="15" customHeight="1" x14ac:dyDescent="0.25">
      <c r="A70" s="64"/>
      <c r="B70" s="60"/>
      <c r="C70" s="27"/>
      <c r="D70" s="27"/>
      <c r="E70" s="27"/>
      <c r="F70" s="27"/>
      <c r="G70" s="332"/>
      <c r="H70" s="333"/>
      <c r="I70" s="331">
        <v>64</v>
      </c>
      <c r="J70" s="4">
        <f t="shared" si="204"/>
        <v>0</v>
      </c>
      <c r="K70" s="27"/>
      <c r="L70" s="62"/>
      <c r="M70" s="62"/>
      <c r="N70" s="62"/>
      <c r="O70" s="62"/>
      <c r="P70" s="62"/>
      <c r="Q70" s="62"/>
      <c r="R70" s="62"/>
      <c r="S70" s="62"/>
      <c r="T70" s="67"/>
      <c r="U70" s="62"/>
      <c r="W70" s="33"/>
      <c r="X70" s="34"/>
      <c r="Y70" s="34"/>
      <c r="Z70" s="34"/>
      <c r="AA70" s="34"/>
      <c r="AB70" s="34"/>
      <c r="AC70" s="34"/>
      <c r="AD70" s="35"/>
      <c r="AE70" s="32"/>
      <c r="AF70" s="32"/>
      <c r="AH70" s="284">
        <f t="shared" si="25"/>
        <v>64</v>
      </c>
      <c r="AI70" s="90"/>
      <c r="AJ70" s="91"/>
      <c r="AK70" s="91"/>
      <c r="AL70" s="91"/>
      <c r="AM70" s="91"/>
      <c r="AN70" s="91"/>
      <c r="AO70" s="91"/>
      <c r="AP70" s="50"/>
      <c r="AQ70" s="770"/>
      <c r="AR70" s="4"/>
      <c r="AT70" s="4"/>
      <c r="AV70" s="131">
        <f t="shared" si="27"/>
        <v>0</v>
      </c>
      <c r="AW70" s="100">
        <f t="shared" si="8"/>
        <v>0</v>
      </c>
      <c r="AX70" s="100">
        <f t="shared" si="9"/>
        <v>0</v>
      </c>
      <c r="AY70" s="100">
        <f t="shared" si="10"/>
        <v>0</v>
      </c>
      <c r="AZ70" s="100">
        <f t="shared" si="11"/>
        <v>0</v>
      </c>
      <c r="BA70" s="100">
        <f t="shared" si="12"/>
        <v>0</v>
      </c>
      <c r="BB70" s="100">
        <f t="shared" si="13"/>
        <v>0</v>
      </c>
      <c r="BC70" s="100">
        <f t="shared" si="14"/>
        <v>0</v>
      </c>
      <c r="BE70" s="96">
        <f t="shared" si="117"/>
        <v>0</v>
      </c>
      <c r="BJ70" s="133"/>
      <c r="BK70" s="133"/>
      <c r="BL70" s="133"/>
      <c r="BM70" s="133"/>
      <c r="BN70" s="133"/>
      <c r="BO70" s="133"/>
      <c r="BP70" s="133"/>
      <c r="BR70" s="815"/>
    </row>
    <row r="71" spans="1:70" ht="15" customHeight="1" x14ac:dyDescent="0.25">
      <c r="A71" s="64"/>
      <c r="B71" s="120" t="s">
        <v>28</v>
      </c>
      <c r="C71" s="27"/>
      <c r="D71" s="27"/>
      <c r="E71" s="27"/>
      <c r="F71" s="27"/>
      <c r="G71" s="332"/>
      <c r="H71" s="333"/>
      <c r="I71" s="331">
        <v>65</v>
      </c>
      <c r="J71" s="4">
        <f t="shared" si="204"/>
        <v>0</v>
      </c>
      <c r="K71" s="27"/>
      <c r="L71" s="62"/>
      <c r="M71" s="62"/>
      <c r="N71" s="62"/>
      <c r="O71" s="62"/>
      <c r="P71" s="62"/>
      <c r="Q71" s="62"/>
      <c r="R71" s="62"/>
      <c r="S71" s="62"/>
      <c r="T71" s="67"/>
      <c r="U71" s="62"/>
      <c r="W71" s="33"/>
      <c r="X71" s="34"/>
      <c r="Y71" s="34"/>
      <c r="Z71" s="34"/>
      <c r="AA71" s="34"/>
      <c r="AB71" s="34"/>
      <c r="AC71" s="34"/>
      <c r="AD71" s="35"/>
      <c r="AE71" s="32"/>
      <c r="AF71" s="32"/>
      <c r="AH71" s="284">
        <f t="shared" si="25"/>
        <v>65</v>
      </c>
      <c r="AI71" s="90"/>
      <c r="AJ71" s="91"/>
      <c r="AK71" s="91"/>
      <c r="AL71" s="91"/>
      <c r="AM71" s="91"/>
      <c r="AN71" s="91"/>
      <c r="AO71" s="91"/>
      <c r="AP71" s="50"/>
      <c r="AQ71" s="770"/>
      <c r="AR71" s="4"/>
      <c r="AT71" s="4"/>
      <c r="AV71" s="131">
        <f t="shared" si="27"/>
        <v>0</v>
      </c>
      <c r="AW71" s="100">
        <f t="shared" si="8"/>
        <v>0</v>
      </c>
      <c r="AX71" s="100">
        <f t="shared" si="9"/>
        <v>0</v>
      </c>
      <c r="AY71" s="100">
        <f t="shared" si="10"/>
        <v>0</v>
      </c>
      <c r="AZ71" s="100">
        <f t="shared" si="11"/>
        <v>0</v>
      </c>
      <c r="BA71" s="100">
        <f t="shared" si="12"/>
        <v>0</v>
      </c>
      <c r="BB71" s="100">
        <f t="shared" si="13"/>
        <v>0</v>
      </c>
      <c r="BC71" s="100">
        <f t="shared" si="14"/>
        <v>0</v>
      </c>
      <c r="BE71" s="96">
        <f t="shared" si="117"/>
        <v>0</v>
      </c>
      <c r="BJ71" s="133"/>
      <c r="BK71" s="133"/>
      <c r="BL71" s="133"/>
      <c r="BM71" s="133"/>
      <c r="BN71" s="133"/>
      <c r="BO71" s="133"/>
      <c r="BP71" s="133"/>
      <c r="BR71" s="815"/>
    </row>
    <row r="72" spans="1:70" ht="15" customHeight="1" x14ac:dyDescent="0.25">
      <c r="A72" s="64">
        <v>1</v>
      </c>
      <c r="B72" s="60" t="s">
        <v>28</v>
      </c>
      <c r="C72" s="27" t="str">
        <f>CALC_Current_option!B218</f>
        <v>Signal timings SCC EMF</v>
      </c>
      <c r="D72" s="27" t="s">
        <v>37</v>
      </c>
      <c r="E72" s="27" t="str">
        <f t="shared" si="31"/>
        <v>Roads_Signal timings SCC EMF_SCC</v>
      </c>
      <c r="F72" s="27" t="str">
        <f t="shared" si="4"/>
        <v>Roads_SCC</v>
      </c>
      <c r="G72" s="37" t="s">
        <v>523</v>
      </c>
      <c r="H72" s="331" t="str">
        <f t="shared" ref="H72:H134" si="208">CONCATENATE(B72,"_",D72,"_",G72)</f>
        <v>Roads_SCC_capex</v>
      </c>
      <c r="I72" s="331">
        <v>66</v>
      </c>
      <c r="J72" s="4">
        <f t="shared" si="204"/>
        <v>159000</v>
      </c>
      <c r="K72" s="27"/>
      <c r="L72" s="62">
        <f>CALC_Current_option!C218</f>
        <v>159000</v>
      </c>
      <c r="M72" s="62"/>
      <c r="N72" s="62"/>
      <c r="O72" s="62"/>
      <c r="P72" s="62"/>
      <c r="Q72" s="62"/>
      <c r="R72" s="62"/>
      <c r="S72" s="62">
        <f t="shared" si="29"/>
        <v>159000</v>
      </c>
      <c r="T72" s="67">
        <f t="shared" ref="T72:T79" si="209">SUMPRODUCT(L72:R72,$L$3:$R$3)</f>
        <v>159000</v>
      </c>
      <c r="U72" s="62"/>
      <c r="W72" s="656">
        <v>1</v>
      </c>
      <c r="X72" s="14">
        <v>0</v>
      </c>
      <c r="Y72" s="14"/>
      <c r="Z72" s="14"/>
      <c r="AA72" s="14"/>
      <c r="AB72" s="14"/>
      <c r="AC72" s="14"/>
      <c r="AD72" s="15"/>
      <c r="AE72" s="32"/>
      <c r="AF72" s="32"/>
      <c r="AH72" s="284">
        <f t="shared" ref="AH72:AH135" si="210">I72</f>
        <v>66</v>
      </c>
      <c r="AI72" s="90">
        <f t="shared" ref="AI72:AP79" si="211">$S72*W72</f>
        <v>159000</v>
      </c>
      <c r="AJ72" s="91">
        <f t="shared" si="211"/>
        <v>0</v>
      </c>
      <c r="AK72" s="91">
        <f t="shared" si="211"/>
        <v>0</v>
      </c>
      <c r="AL72" s="91">
        <f t="shared" si="211"/>
        <v>0</v>
      </c>
      <c r="AM72" s="91">
        <f t="shared" si="211"/>
        <v>0</v>
      </c>
      <c r="AN72" s="91">
        <f t="shared" si="211"/>
        <v>0</v>
      </c>
      <c r="AO72" s="91">
        <f t="shared" si="211"/>
        <v>0</v>
      </c>
      <c r="AP72" s="50">
        <f t="shared" si="211"/>
        <v>0</v>
      </c>
      <c r="AQ72" s="770"/>
      <c r="AR72" s="4">
        <f t="shared" si="26"/>
        <v>159000</v>
      </c>
      <c r="AT72" s="4"/>
      <c r="AV72" s="131">
        <f t="shared" si="27"/>
        <v>159000</v>
      </c>
      <c r="AW72" s="100">
        <f t="shared" si="8"/>
        <v>0</v>
      </c>
      <c r="AX72" s="100">
        <f t="shared" si="9"/>
        <v>0</v>
      </c>
      <c r="AY72" s="100">
        <f t="shared" si="10"/>
        <v>0</v>
      </c>
      <c r="AZ72" s="100">
        <f t="shared" si="11"/>
        <v>0</v>
      </c>
      <c r="BA72" s="100">
        <f t="shared" si="12"/>
        <v>0</v>
      </c>
      <c r="BB72" s="100">
        <f t="shared" si="13"/>
        <v>0</v>
      </c>
      <c r="BC72" s="100">
        <f t="shared" si="14"/>
        <v>0</v>
      </c>
      <c r="BE72" s="96">
        <f t="shared" si="117"/>
        <v>159000</v>
      </c>
      <c r="BG72" t="str">
        <f t="shared" ref="BG72:BG80" si="212">E72</f>
        <v>Roads_Signal timings SCC EMF_SCC</v>
      </c>
      <c r="BJ72" s="133">
        <f t="shared" ref="BJ72:BJ135" si="213">IF($G72="Ignore",0,$AC72*L72)</f>
        <v>0</v>
      </c>
      <c r="BK72" s="133">
        <f t="shared" ref="BK72:BK134" si="214">IF($G72="Ignore",0,$AC72*M72)</f>
        <v>0</v>
      </c>
      <c r="BL72" s="133">
        <f t="shared" ref="BL72:BL134" si="215">IF($G72="Ignore",0,$AC72*N72)</f>
        <v>0</v>
      </c>
      <c r="BM72" s="133">
        <f t="shared" ref="BM72:BM134" si="216">IF($G72="Ignore",0,$AC72*O72)</f>
        <v>0</v>
      </c>
      <c r="BN72" s="133">
        <f t="shared" ref="BN72:BN134" si="217">IF($G72="Ignore",0,$AC72*P72)</f>
        <v>0</v>
      </c>
      <c r="BO72" s="133">
        <f t="shared" ref="BO72:BO134" si="218">IF($G72="Ignore",0,$AC72*Q72)</f>
        <v>0</v>
      </c>
      <c r="BP72" s="133">
        <f t="shared" ref="BP72:BP134" si="219">IF($G72="Ignore",0,$AC72*R72)</f>
        <v>0</v>
      </c>
      <c r="BR72" s="815"/>
    </row>
    <row r="73" spans="1:70" ht="15" customHeight="1" x14ac:dyDescent="0.25">
      <c r="A73" s="64">
        <v>2</v>
      </c>
      <c r="B73" s="60" t="s">
        <v>28</v>
      </c>
      <c r="C73" s="27" t="s">
        <v>9</v>
      </c>
      <c r="D73" s="282" t="s">
        <v>37</v>
      </c>
      <c r="E73" s="27" t="str">
        <f t="shared" si="31"/>
        <v>Roads_50mph on Parkway_SCC</v>
      </c>
      <c r="F73" s="27" t="str">
        <f t="shared" si="4"/>
        <v>Roads_SCC</v>
      </c>
      <c r="G73" s="37" t="s">
        <v>523</v>
      </c>
      <c r="H73" s="331" t="str">
        <f t="shared" si="208"/>
        <v>Roads_SCC_capex</v>
      </c>
      <c r="I73" s="331">
        <v>67</v>
      </c>
      <c r="J73" s="4">
        <f t="shared" si="204"/>
        <v>0</v>
      </c>
      <c r="K73" s="27"/>
      <c r="L73" s="62"/>
      <c r="M73" s="62">
        <f>CALC_Current_option!$C$219</f>
        <v>0</v>
      </c>
      <c r="N73" s="62"/>
      <c r="O73" s="62"/>
      <c r="P73" s="62"/>
      <c r="Q73" s="62"/>
      <c r="R73" s="62"/>
      <c r="S73" s="62">
        <f t="shared" si="29"/>
        <v>0</v>
      </c>
      <c r="T73" s="67">
        <f t="shared" si="209"/>
        <v>0</v>
      </c>
      <c r="U73" s="62"/>
      <c r="W73" s="13"/>
      <c r="X73" s="14"/>
      <c r="Y73" s="653">
        <v>1</v>
      </c>
      <c r="Z73" s="14"/>
      <c r="AA73" s="14"/>
      <c r="AB73" s="14"/>
      <c r="AC73" s="14"/>
      <c r="AD73" s="15"/>
      <c r="AE73" s="32"/>
      <c r="AF73" s="32"/>
      <c r="AH73" s="284">
        <f t="shared" si="210"/>
        <v>67</v>
      </c>
      <c r="AI73" s="90">
        <f t="shared" si="211"/>
        <v>0</v>
      </c>
      <c r="AJ73" s="91">
        <f t="shared" si="211"/>
        <v>0</v>
      </c>
      <c r="AK73" s="91">
        <f t="shared" si="211"/>
        <v>0</v>
      </c>
      <c r="AL73" s="91">
        <f t="shared" si="211"/>
        <v>0</v>
      </c>
      <c r="AM73" s="91">
        <f t="shared" si="211"/>
        <v>0</v>
      </c>
      <c r="AN73" s="91">
        <f t="shared" si="211"/>
        <v>0</v>
      </c>
      <c r="AO73" s="91">
        <f t="shared" si="211"/>
        <v>0</v>
      </c>
      <c r="AP73" s="50">
        <f t="shared" si="211"/>
        <v>0</v>
      </c>
      <c r="AQ73" s="770"/>
      <c r="AR73" s="4">
        <f t="shared" si="26"/>
        <v>0</v>
      </c>
      <c r="AT73" s="4"/>
      <c r="AV73" s="131">
        <f t="shared" si="27"/>
        <v>0</v>
      </c>
      <c r="AW73" s="100">
        <f t="shared" si="8"/>
        <v>0</v>
      </c>
      <c r="AX73" s="100">
        <f t="shared" si="9"/>
        <v>0</v>
      </c>
      <c r="AY73" s="100">
        <f t="shared" si="10"/>
        <v>0</v>
      </c>
      <c r="AZ73" s="100">
        <f t="shared" si="11"/>
        <v>0</v>
      </c>
      <c r="BA73" s="100">
        <f t="shared" si="12"/>
        <v>0</v>
      </c>
      <c r="BB73" s="100">
        <f t="shared" si="13"/>
        <v>0</v>
      </c>
      <c r="BC73" s="100">
        <f t="shared" si="14"/>
        <v>0</v>
      </c>
      <c r="BE73" s="96">
        <f t="shared" si="117"/>
        <v>0</v>
      </c>
      <c r="BG73" t="str">
        <f t="shared" si="212"/>
        <v>Roads_50mph on Parkway_SCC</v>
      </c>
      <c r="BJ73" s="133">
        <f t="shared" si="213"/>
        <v>0</v>
      </c>
      <c r="BK73" s="133">
        <f t="shared" si="214"/>
        <v>0</v>
      </c>
      <c r="BL73" s="133">
        <f t="shared" si="215"/>
        <v>0</v>
      </c>
      <c r="BM73" s="133">
        <f t="shared" si="216"/>
        <v>0</v>
      </c>
      <c r="BN73" s="133">
        <f t="shared" si="217"/>
        <v>0</v>
      </c>
      <c r="BO73" s="133">
        <f t="shared" si="218"/>
        <v>0</v>
      </c>
      <c r="BP73" s="133">
        <f t="shared" si="219"/>
        <v>0</v>
      </c>
      <c r="BR73" s="815"/>
    </row>
    <row r="74" spans="1:70" ht="30" customHeight="1" x14ac:dyDescent="0.25">
      <c r="A74" s="64">
        <v>3</v>
      </c>
      <c r="B74" s="60" t="s">
        <v>28</v>
      </c>
      <c r="C74" s="27" t="s">
        <v>10</v>
      </c>
      <c r="D74" s="27" t="s">
        <v>37</v>
      </c>
      <c r="E74" s="27" t="str">
        <f t="shared" si="31"/>
        <v>Roads_Signal timings on Derek Dooley Way_SCC</v>
      </c>
      <c r="F74" s="27" t="str">
        <f t="shared" si="4"/>
        <v>Roads_SCC</v>
      </c>
      <c r="G74" s="37" t="s">
        <v>523</v>
      </c>
      <c r="H74" s="331" t="str">
        <f t="shared" si="208"/>
        <v>Roads_SCC_capex</v>
      </c>
      <c r="I74" s="331">
        <v>68</v>
      </c>
      <c r="J74" s="4">
        <f t="shared" si="204"/>
        <v>100000</v>
      </c>
      <c r="K74" s="27"/>
      <c r="L74" s="62"/>
      <c r="M74" s="62">
        <f>CALC_Current_option!$C$220</f>
        <v>100000</v>
      </c>
      <c r="N74" s="62"/>
      <c r="O74" s="62"/>
      <c r="P74" s="62"/>
      <c r="Q74" s="62"/>
      <c r="R74" s="62"/>
      <c r="S74" s="62">
        <f t="shared" si="29"/>
        <v>100000</v>
      </c>
      <c r="T74" s="67">
        <f t="shared" si="209"/>
        <v>96500</v>
      </c>
      <c r="U74" s="62"/>
      <c r="W74" s="13"/>
      <c r="X74" s="14"/>
      <c r="Y74" s="653">
        <v>1</v>
      </c>
      <c r="Z74" s="14"/>
      <c r="AA74" s="14"/>
      <c r="AB74" s="14"/>
      <c r="AC74" s="14"/>
      <c r="AD74" s="15"/>
      <c r="AE74" s="32"/>
      <c r="AF74" s="32"/>
      <c r="AH74" s="284">
        <f t="shared" si="210"/>
        <v>68</v>
      </c>
      <c r="AI74" s="90">
        <f t="shared" si="211"/>
        <v>0</v>
      </c>
      <c r="AJ74" s="91">
        <f t="shared" si="211"/>
        <v>0</v>
      </c>
      <c r="AK74" s="91">
        <f t="shared" si="211"/>
        <v>100000</v>
      </c>
      <c r="AL74" s="91">
        <f t="shared" si="211"/>
        <v>0</v>
      </c>
      <c r="AM74" s="91">
        <f t="shared" si="211"/>
        <v>0</v>
      </c>
      <c r="AN74" s="91">
        <f t="shared" si="211"/>
        <v>0</v>
      </c>
      <c r="AO74" s="91">
        <f t="shared" si="211"/>
        <v>0</v>
      </c>
      <c r="AP74" s="50">
        <f t="shared" si="211"/>
        <v>0</v>
      </c>
      <c r="AQ74" s="770"/>
      <c r="AR74" s="4">
        <f t="shared" si="26"/>
        <v>100000</v>
      </c>
      <c r="AT74" s="4"/>
      <c r="AV74" s="131">
        <f t="shared" si="27"/>
        <v>0</v>
      </c>
      <c r="AW74" s="100">
        <f t="shared" si="8"/>
        <v>0</v>
      </c>
      <c r="AX74" s="100">
        <f t="shared" si="9"/>
        <v>96500</v>
      </c>
      <c r="AY74" s="100">
        <f t="shared" si="10"/>
        <v>0</v>
      </c>
      <c r="AZ74" s="100">
        <f t="shared" si="11"/>
        <v>0</v>
      </c>
      <c r="BA74" s="100">
        <f t="shared" si="12"/>
        <v>0</v>
      </c>
      <c r="BB74" s="100">
        <f t="shared" si="13"/>
        <v>0</v>
      </c>
      <c r="BC74" s="100">
        <f t="shared" si="14"/>
        <v>0</v>
      </c>
      <c r="BE74" s="96">
        <f t="shared" si="117"/>
        <v>96500</v>
      </c>
      <c r="BG74" t="str">
        <f t="shared" si="212"/>
        <v>Roads_Signal timings on Derek Dooley Way_SCC</v>
      </c>
      <c r="BJ74" s="133">
        <f t="shared" si="213"/>
        <v>0</v>
      </c>
      <c r="BK74" s="133">
        <f t="shared" si="214"/>
        <v>0</v>
      </c>
      <c r="BL74" s="133">
        <f t="shared" si="215"/>
        <v>0</v>
      </c>
      <c r="BM74" s="133">
        <f t="shared" si="216"/>
        <v>0</v>
      </c>
      <c r="BN74" s="133">
        <f t="shared" si="217"/>
        <v>0</v>
      </c>
      <c r="BO74" s="133">
        <f t="shared" si="218"/>
        <v>0</v>
      </c>
      <c r="BP74" s="133">
        <f t="shared" si="219"/>
        <v>0</v>
      </c>
      <c r="BR74" s="815"/>
    </row>
    <row r="75" spans="1:70" ht="30" customHeight="1" x14ac:dyDescent="0.25">
      <c r="A75" s="64">
        <v>4</v>
      </c>
      <c r="B75" s="60" t="s">
        <v>28</v>
      </c>
      <c r="C75" s="27" t="s">
        <v>11</v>
      </c>
      <c r="D75" s="27" t="s">
        <v>38</v>
      </c>
      <c r="E75" s="27" t="str">
        <f t="shared" si="31"/>
        <v>Roads_Signal timings on Fitzwilliam Road_RMBC</v>
      </c>
      <c r="F75" s="27" t="str">
        <f t="shared" si="4"/>
        <v>Roads_RMBC</v>
      </c>
      <c r="G75" s="37" t="s">
        <v>523</v>
      </c>
      <c r="H75" s="331" t="str">
        <f t="shared" si="208"/>
        <v>Roads_RMBC_capex</v>
      </c>
      <c r="I75" s="331">
        <v>69</v>
      </c>
      <c r="J75" s="4">
        <f t="shared" si="204"/>
        <v>80000</v>
      </c>
      <c r="K75" s="27"/>
      <c r="L75" s="62"/>
      <c r="M75" s="62">
        <f>CALC_Current_option!$C$221</f>
        <v>80000</v>
      </c>
      <c r="N75" s="62"/>
      <c r="O75" s="62"/>
      <c r="P75" s="62"/>
      <c r="Q75" s="62"/>
      <c r="R75" s="62"/>
      <c r="S75" s="62">
        <f t="shared" si="29"/>
        <v>80000</v>
      </c>
      <c r="T75" s="67">
        <f t="shared" si="209"/>
        <v>77200</v>
      </c>
      <c r="U75" s="62"/>
      <c r="W75" s="13"/>
      <c r="X75" s="14"/>
      <c r="Y75" s="653">
        <v>1</v>
      </c>
      <c r="Z75" s="14"/>
      <c r="AA75" s="14"/>
      <c r="AB75" s="14"/>
      <c r="AC75" s="14"/>
      <c r="AD75" s="15"/>
      <c r="AE75" s="32"/>
      <c r="AF75" s="32"/>
      <c r="AH75" s="284">
        <f t="shared" si="210"/>
        <v>69</v>
      </c>
      <c r="AI75" s="90">
        <f t="shared" si="211"/>
        <v>0</v>
      </c>
      <c r="AJ75" s="91">
        <f t="shared" si="211"/>
        <v>0</v>
      </c>
      <c r="AK75" s="91">
        <f t="shared" si="211"/>
        <v>80000</v>
      </c>
      <c r="AL75" s="91">
        <f t="shared" si="211"/>
        <v>0</v>
      </c>
      <c r="AM75" s="91">
        <f t="shared" si="211"/>
        <v>0</v>
      </c>
      <c r="AN75" s="91">
        <f t="shared" si="211"/>
        <v>0</v>
      </c>
      <c r="AO75" s="91">
        <f t="shared" si="211"/>
        <v>0</v>
      </c>
      <c r="AP75" s="50">
        <f t="shared" si="211"/>
        <v>0</v>
      </c>
      <c r="AQ75" s="770"/>
      <c r="AR75" s="4">
        <f t="shared" si="26"/>
        <v>80000</v>
      </c>
      <c r="AT75" s="4"/>
      <c r="AV75" s="131">
        <f t="shared" si="27"/>
        <v>0</v>
      </c>
      <c r="AW75" s="100">
        <f t="shared" si="8"/>
        <v>0</v>
      </c>
      <c r="AX75" s="100">
        <f t="shared" si="9"/>
        <v>77200</v>
      </c>
      <c r="AY75" s="100">
        <f t="shared" si="10"/>
        <v>0</v>
      </c>
      <c r="AZ75" s="100">
        <f t="shared" si="11"/>
        <v>0</v>
      </c>
      <c r="BA75" s="100">
        <f t="shared" si="12"/>
        <v>0</v>
      </c>
      <c r="BB75" s="100">
        <f t="shared" si="13"/>
        <v>0</v>
      </c>
      <c r="BC75" s="100">
        <f t="shared" si="14"/>
        <v>0</v>
      </c>
      <c r="BE75" s="96">
        <f t="shared" ref="BE75:BE110" si="220">SUM(AV75:BC75)</f>
        <v>77200</v>
      </c>
      <c r="BG75" t="str">
        <f t="shared" si="212"/>
        <v>Roads_Signal timings on Fitzwilliam Road_RMBC</v>
      </c>
      <c r="BJ75" s="133">
        <f t="shared" si="213"/>
        <v>0</v>
      </c>
      <c r="BK75" s="133">
        <f t="shared" si="214"/>
        <v>0</v>
      </c>
      <c r="BL75" s="133">
        <f t="shared" si="215"/>
        <v>0</v>
      </c>
      <c r="BM75" s="133">
        <f t="shared" si="216"/>
        <v>0</v>
      </c>
      <c r="BN75" s="133">
        <f t="shared" si="217"/>
        <v>0</v>
      </c>
      <c r="BO75" s="133">
        <f t="shared" si="218"/>
        <v>0</v>
      </c>
      <c r="BP75" s="133">
        <f t="shared" si="219"/>
        <v>0</v>
      </c>
      <c r="BR75" s="815"/>
    </row>
    <row r="76" spans="1:70" ht="45" customHeight="1" x14ac:dyDescent="0.25">
      <c r="A76" s="64">
        <v>5</v>
      </c>
      <c r="B76" s="60" t="s">
        <v>28</v>
      </c>
      <c r="C76" s="27" t="s">
        <v>25</v>
      </c>
      <c r="D76" s="27" t="s">
        <v>38</v>
      </c>
      <c r="E76" s="27" t="str">
        <f t="shared" si="31"/>
        <v>Roads_Junction improvements and bus priority to support bus diversion from Rawmarsh Hill_RMBC</v>
      </c>
      <c r="F76" s="27" t="str">
        <f t="shared" si="4"/>
        <v>Roads_RMBC</v>
      </c>
      <c r="G76" s="37" t="s">
        <v>523</v>
      </c>
      <c r="H76" s="331" t="str">
        <f t="shared" si="208"/>
        <v>Roads_RMBC_capex</v>
      </c>
      <c r="I76" s="331">
        <v>70</v>
      </c>
      <c r="J76" s="4">
        <f t="shared" si="204"/>
        <v>710000</v>
      </c>
      <c r="K76" s="27"/>
      <c r="L76" s="62"/>
      <c r="M76" s="62">
        <f>CALC_Current_option!$C$222</f>
        <v>710000</v>
      </c>
      <c r="N76" s="62"/>
      <c r="O76" s="62"/>
      <c r="P76" s="62"/>
      <c r="Q76" s="62"/>
      <c r="R76" s="62"/>
      <c r="S76" s="62">
        <f t="shared" si="29"/>
        <v>710000</v>
      </c>
      <c r="T76" s="67">
        <f t="shared" si="209"/>
        <v>685150</v>
      </c>
      <c r="U76" s="62"/>
      <c r="W76" s="13"/>
      <c r="X76" s="14"/>
      <c r="Y76" s="653">
        <v>1</v>
      </c>
      <c r="Z76" s="14"/>
      <c r="AA76" s="14"/>
      <c r="AB76" s="14"/>
      <c r="AC76" s="14"/>
      <c r="AD76" s="15"/>
      <c r="AE76" s="32"/>
      <c r="AF76" s="32"/>
      <c r="AH76" s="284">
        <f t="shared" si="210"/>
        <v>70</v>
      </c>
      <c r="AI76" s="90">
        <f t="shared" si="211"/>
        <v>0</v>
      </c>
      <c r="AJ76" s="91">
        <f t="shared" si="211"/>
        <v>0</v>
      </c>
      <c r="AK76" s="91">
        <f t="shared" si="211"/>
        <v>710000</v>
      </c>
      <c r="AL76" s="91">
        <f t="shared" si="211"/>
        <v>0</v>
      </c>
      <c r="AM76" s="91">
        <f t="shared" si="211"/>
        <v>0</v>
      </c>
      <c r="AN76" s="91">
        <f t="shared" si="211"/>
        <v>0</v>
      </c>
      <c r="AO76" s="91">
        <f t="shared" si="211"/>
        <v>0</v>
      </c>
      <c r="AP76" s="50">
        <f t="shared" si="211"/>
        <v>0</v>
      </c>
      <c r="AQ76" s="770"/>
      <c r="AR76" s="4">
        <f t="shared" si="26"/>
        <v>710000</v>
      </c>
      <c r="AT76" s="4"/>
      <c r="AV76" s="131">
        <f t="shared" si="27"/>
        <v>0</v>
      </c>
      <c r="AW76" s="100">
        <f t="shared" si="8"/>
        <v>0</v>
      </c>
      <c r="AX76" s="100">
        <f t="shared" si="9"/>
        <v>685150</v>
      </c>
      <c r="AY76" s="100">
        <f t="shared" si="10"/>
        <v>0</v>
      </c>
      <c r="AZ76" s="100">
        <f t="shared" si="11"/>
        <v>0</v>
      </c>
      <c r="BA76" s="100">
        <f t="shared" si="12"/>
        <v>0</v>
      </c>
      <c r="BB76" s="100">
        <f t="shared" si="13"/>
        <v>0</v>
      </c>
      <c r="BC76" s="100">
        <f t="shared" si="14"/>
        <v>0</v>
      </c>
      <c r="BE76" s="96">
        <f t="shared" si="220"/>
        <v>685150</v>
      </c>
      <c r="BG76" t="str">
        <f t="shared" si="212"/>
        <v>Roads_Junction improvements and bus priority to support bus diversion from Rawmarsh Hill_RMBC</v>
      </c>
      <c r="BJ76" s="133">
        <f t="shared" si="213"/>
        <v>0</v>
      </c>
      <c r="BK76" s="133">
        <f t="shared" si="214"/>
        <v>0</v>
      </c>
      <c r="BL76" s="133">
        <f t="shared" si="215"/>
        <v>0</v>
      </c>
      <c r="BM76" s="133">
        <f t="shared" si="216"/>
        <v>0</v>
      </c>
      <c r="BN76" s="133">
        <f t="shared" si="217"/>
        <v>0</v>
      </c>
      <c r="BO76" s="133">
        <f t="shared" si="218"/>
        <v>0</v>
      </c>
      <c r="BP76" s="133">
        <f t="shared" si="219"/>
        <v>0</v>
      </c>
      <c r="BR76" s="815"/>
    </row>
    <row r="77" spans="1:70" ht="30" customHeight="1" x14ac:dyDescent="0.25">
      <c r="A77" s="64">
        <v>6</v>
      </c>
      <c r="B77" s="60" t="s">
        <v>28</v>
      </c>
      <c r="C77" s="27" t="s">
        <v>12</v>
      </c>
      <c r="D77" s="27" t="s">
        <v>38</v>
      </c>
      <c r="E77" s="27" t="str">
        <f t="shared" si="31"/>
        <v>Roads_HGV Northbound on Wortley Road_RMBC</v>
      </c>
      <c r="F77" s="27" t="str">
        <f t="shared" si="4"/>
        <v>Roads_RMBC</v>
      </c>
      <c r="G77" s="37" t="s">
        <v>523</v>
      </c>
      <c r="H77" s="331" t="str">
        <f t="shared" si="208"/>
        <v>Roads_RMBC_capex</v>
      </c>
      <c r="I77" s="331">
        <v>71</v>
      </c>
      <c r="J77" s="4">
        <f t="shared" si="204"/>
        <v>120000</v>
      </c>
      <c r="K77" s="27"/>
      <c r="L77" s="62"/>
      <c r="M77" s="62">
        <f>CALC_Current_option!$C$223</f>
        <v>120000</v>
      </c>
      <c r="N77" s="62"/>
      <c r="O77" s="62"/>
      <c r="P77" s="62"/>
      <c r="Q77" s="62"/>
      <c r="R77" s="62"/>
      <c r="S77" s="62">
        <f t="shared" si="29"/>
        <v>120000</v>
      </c>
      <c r="T77" s="67">
        <f t="shared" si="209"/>
        <v>115800</v>
      </c>
      <c r="U77" s="62"/>
      <c r="W77" s="13"/>
      <c r="X77" s="14"/>
      <c r="Y77" s="653">
        <v>1</v>
      </c>
      <c r="Z77" s="14"/>
      <c r="AA77" s="14"/>
      <c r="AB77" s="14"/>
      <c r="AC77" s="14"/>
      <c r="AD77" s="15"/>
      <c r="AE77" s="32"/>
      <c r="AF77" s="32"/>
      <c r="AH77" s="284">
        <f t="shared" si="210"/>
        <v>71</v>
      </c>
      <c r="AI77" s="90">
        <f t="shared" si="211"/>
        <v>0</v>
      </c>
      <c r="AJ77" s="91">
        <f t="shared" si="211"/>
        <v>0</v>
      </c>
      <c r="AK77" s="91">
        <f t="shared" si="211"/>
        <v>120000</v>
      </c>
      <c r="AL77" s="91">
        <f t="shared" si="211"/>
        <v>0</v>
      </c>
      <c r="AM77" s="91">
        <f t="shared" si="211"/>
        <v>0</v>
      </c>
      <c r="AN77" s="91">
        <f t="shared" si="211"/>
        <v>0</v>
      </c>
      <c r="AO77" s="91">
        <f t="shared" si="211"/>
        <v>0</v>
      </c>
      <c r="AP77" s="50">
        <f t="shared" si="211"/>
        <v>0</v>
      </c>
      <c r="AQ77" s="770"/>
      <c r="AR77" s="4">
        <f t="shared" si="26"/>
        <v>120000</v>
      </c>
      <c r="AT77" s="4"/>
      <c r="AV77" s="131">
        <f t="shared" si="27"/>
        <v>0</v>
      </c>
      <c r="AW77" s="100">
        <f t="shared" si="8"/>
        <v>0</v>
      </c>
      <c r="AX77" s="100">
        <f t="shared" si="9"/>
        <v>115800</v>
      </c>
      <c r="AY77" s="100">
        <f t="shared" si="10"/>
        <v>0</v>
      </c>
      <c r="AZ77" s="100">
        <f t="shared" si="11"/>
        <v>0</v>
      </c>
      <c r="BA77" s="100">
        <f t="shared" si="12"/>
        <v>0</v>
      </c>
      <c r="BB77" s="100">
        <f t="shared" si="13"/>
        <v>0</v>
      </c>
      <c r="BC77" s="100">
        <f t="shared" si="14"/>
        <v>0</v>
      </c>
      <c r="BE77" s="96">
        <f t="shared" si="220"/>
        <v>115800</v>
      </c>
      <c r="BG77" t="str">
        <f t="shared" si="212"/>
        <v>Roads_HGV Northbound on Wortley Road_RMBC</v>
      </c>
      <c r="BJ77" s="133">
        <f t="shared" si="213"/>
        <v>0</v>
      </c>
      <c r="BK77" s="133">
        <f t="shared" si="214"/>
        <v>0</v>
      </c>
      <c r="BL77" s="133">
        <f t="shared" si="215"/>
        <v>0</v>
      </c>
      <c r="BM77" s="133">
        <f t="shared" si="216"/>
        <v>0</v>
      </c>
      <c r="BN77" s="133">
        <f t="shared" si="217"/>
        <v>0</v>
      </c>
      <c r="BO77" s="133">
        <f t="shared" si="218"/>
        <v>0</v>
      </c>
      <c r="BP77" s="133">
        <f t="shared" si="219"/>
        <v>0</v>
      </c>
      <c r="BR77" s="815"/>
    </row>
    <row r="78" spans="1:70" ht="30" customHeight="1" x14ac:dyDescent="0.25">
      <c r="A78" s="64">
        <v>7</v>
      </c>
      <c r="B78" s="60" t="s">
        <v>28</v>
      </c>
      <c r="C78" s="27" t="s">
        <v>34</v>
      </c>
      <c r="D78" s="27" t="s">
        <v>38</v>
      </c>
      <c r="E78" s="27" t="str">
        <f t="shared" si="31"/>
        <v>Roads_Parkgate Link Road (Not included in Preferred Option)_RMBC</v>
      </c>
      <c r="F78" s="27" t="str">
        <f t="shared" si="4"/>
        <v>Roads_RMBC</v>
      </c>
      <c r="G78" s="37" t="s">
        <v>523</v>
      </c>
      <c r="H78" s="331" t="str">
        <f t="shared" si="208"/>
        <v>Roads_RMBC_capex</v>
      </c>
      <c r="I78" s="331">
        <v>72</v>
      </c>
      <c r="J78" s="4">
        <f t="shared" si="204"/>
        <v>0</v>
      </c>
      <c r="K78" s="27"/>
      <c r="L78" s="62"/>
      <c r="M78" s="62">
        <f>CALC_Current_option!$C$225</f>
        <v>0</v>
      </c>
      <c r="N78" s="62"/>
      <c r="O78" s="62"/>
      <c r="P78" s="62"/>
      <c r="Q78" s="62"/>
      <c r="R78" s="62"/>
      <c r="S78" s="62">
        <f t="shared" si="29"/>
        <v>0</v>
      </c>
      <c r="T78" s="67">
        <f t="shared" si="209"/>
        <v>0</v>
      </c>
      <c r="U78" s="62"/>
      <c r="W78" s="13"/>
      <c r="X78" s="14"/>
      <c r="Y78" s="14"/>
      <c r="Z78" s="14"/>
      <c r="AA78" s="14"/>
      <c r="AB78" s="653">
        <v>1</v>
      </c>
      <c r="AC78" s="14"/>
      <c r="AD78" s="15"/>
      <c r="AE78" s="32"/>
      <c r="AF78" s="32"/>
      <c r="AH78" s="284">
        <f t="shared" si="210"/>
        <v>72</v>
      </c>
      <c r="AI78" s="90">
        <f t="shared" si="211"/>
        <v>0</v>
      </c>
      <c r="AJ78" s="91">
        <f t="shared" si="211"/>
        <v>0</v>
      </c>
      <c r="AK78" s="91">
        <f t="shared" si="211"/>
        <v>0</v>
      </c>
      <c r="AL78" s="91">
        <f t="shared" si="211"/>
        <v>0</v>
      </c>
      <c r="AM78" s="91">
        <f t="shared" si="211"/>
        <v>0</v>
      </c>
      <c r="AN78" s="91">
        <f t="shared" si="211"/>
        <v>0</v>
      </c>
      <c r="AO78" s="91">
        <f t="shared" si="211"/>
        <v>0</v>
      </c>
      <c r="AP78" s="50">
        <f t="shared" si="211"/>
        <v>0</v>
      </c>
      <c r="AQ78" s="770"/>
      <c r="AR78" s="4">
        <f t="shared" si="26"/>
        <v>0</v>
      </c>
      <c r="AT78" s="4"/>
      <c r="AV78" s="131">
        <f t="shared" si="27"/>
        <v>0</v>
      </c>
      <c r="AW78" s="100">
        <f t="shared" si="8"/>
        <v>0</v>
      </c>
      <c r="AX78" s="100">
        <f t="shared" si="9"/>
        <v>0</v>
      </c>
      <c r="AY78" s="100">
        <f t="shared" si="10"/>
        <v>0</v>
      </c>
      <c r="AZ78" s="100">
        <f t="shared" si="11"/>
        <v>0</v>
      </c>
      <c r="BA78" s="100">
        <f t="shared" si="12"/>
        <v>0</v>
      </c>
      <c r="BB78" s="100">
        <f t="shared" si="13"/>
        <v>0</v>
      </c>
      <c r="BC78" s="100">
        <f t="shared" si="14"/>
        <v>0</v>
      </c>
      <c r="BE78" s="96">
        <f t="shared" si="220"/>
        <v>0</v>
      </c>
      <c r="BG78" t="str">
        <f t="shared" si="212"/>
        <v>Roads_Parkgate Link Road (Not included in Preferred Option)_RMBC</v>
      </c>
      <c r="BJ78" s="133">
        <f t="shared" si="213"/>
        <v>0</v>
      </c>
      <c r="BK78" s="133">
        <f t="shared" si="214"/>
        <v>0</v>
      </c>
      <c r="BL78" s="133">
        <f t="shared" si="215"/>
        <v>0</v>
      </c>
      <c r="BM78" s="133">
        <f t="shared" si="216"/>
        <v>0</v>
      </c>
      <c r="BN78" s="133">
        <f t="shared" si="217"/>
        <v>0</v>
      </c>
      <c r="BO78" s="133">
        <f t="shared" si="218"/>
        <v>0</v>
      </c>
      <c r="BP78" s="133">
        <f t="shared" si="219"/>
        <v>0</v>
      </c>
      <c r="BR78" s="815"/>
    </row>
    <row r="79" spans="1:70" ht="45" customHeight="1" x14ac:dyDescent="0.25">
      <c r="A79" s="64">
        <v>8</v>
      </c>
      <c r="B79" s="283" t="s">
        <v>296</v>
      </c>
      <c r="C79" s="27" t="s">
        <v>479</v>
      </c>
      <c r="D79" s="27" t="s">
        <v>37</v>
      </c>
      <c r="E79" s="27" t="str">
        <f t="shared" si="31"/>
        <v>Contingency_Optimism Bias/Contingency on SCC Road Schemes_SCC</v>
      </c>
      <c r="F79" s="27" t="str">
        <f t="shared" si="4"/>
        <v>Contingency_SCC</v>
      </c>
      <c r="G79" s="37" t="s">
        <v>523</v>
      </c>
      <c r="H79" s="331" t="str">
        <f t="shared" si="208"/>
        <v>Contingency_SCC_capex</v>
      </c>
      <c r="I79" s="331">
        <v>73</v>
      </c>
      <c r="J79" s="4">
        <f t="shared" si="204"/>
        <v>51800</v>
      </c>
      <c r="K79" s="27"/>
      <c r="L79" s="62"/>
      <c r="M79" s="62">
        <f>CALC_Current_option!$C$227</f>
        <v>51800</v>
      </c>
      <c r="N79" s="62"/>
      <c r="O79" s="62"/>
      <c r="P79" s="62"/>
      <c r="Q79" s="62"/>
      <c r="R79" s="62"/>
      <c r="S79" s="62">
        <f t="shared" si="29"/>
        <v>51800</v>
      </c>
      <c r="T79" s="67">
        <f t="shared" si="209"/>
        <v>49987</v>
      </c>
      <c r="U79" s="62"/>
      <c r="W79" s="13"/>
      <c r="X79" s="14"/>
      <c r="Y79" s="653">
        <v>1</v>
      </c>
      <c r="Z79" s="14"/>
      <c r="AA79" s="14"/>
      <c r="AB79" s="14"/>
      <c r="AC79" s="14"/>
      <c r="AD79" s="15"/>
      <c r="AE79" s="32"/>
      <c r="AF79" s="32"/>
      <c r="AH79" s="284">
        <f t="shared" si="210"/>
        <v>73</v>
      </c>
      <c r="AI79" s="90">
        <f t="shared" si="211"/>
        <v>0</v>
      </c>
      <c r="AJ79" s="91">
        <f t="shared" si="211"/>
        <v>0</v>
      </c>
      <c r="AK79" s="91">
        <f t="shared" si="211"/>
        <v>51800</v>
      </c>
      <c r="AL79" s="91">
        <f t="shared" si="211"/>
        <v>0</v>
      </c>
      <c r="AM79" s="91">
        <f t="shared" si="211"/>
        <v>0</v>
      </c>
      <c r="AN79" s="91">
        <f t="shared" si="211"/>
        <v>0</v>
      </c>
      <c r="AO79" s="91">
        <f t="shared" si="211"/>
        <v>0</v>
      </c>
      <c r="AP79" s="50">
        <f t="shared" si="211"/>
        <v>0</v>
      </c>
      <c r="AQ79" s="770"/>
      <c r="AR79" s="4">
        <f t="shared" ref="AR79" si="221">SUM(AI79:AP79)</f>
        <v>51800</v>
      </c>
      <c r="AT79" s="4"/>
      <c r="AV79" s="131">
        <f t="shared" ref="AV79" si="222">$T79*W79</f>
        <v>0</v>
      </c>
      <c r="AW79" s="100">
        <f t="shared" ref="AW79" si="223">$T79*X79</f>
        <v>0</v>
      </c>
      <c r="AX79" s="100">
        <f t="shared" ref="AX79" si="224">$T79*Y79</f>
        <v>49987</v>
      </c>
      <c r="AY79" s="100">
        <f t="shared" ref="AY79" si="225">$T79*Z79</f>
        <v>0</v>
      </c>
      <c r="AZ79" s="100">
        <f t="shared" ref="AZ79" si="226">$T79*AA79</f>
        <v>0</v>
      </c>
      <c r="BA79" s="100">
        <f t="shared" ref="BA79" si="227">$T79*AB79</f>
        <v>0</v>
      </c>
      <c r="BB79" s="100">
        <f t="shared" ref="BB79" si="228">$T79*AC79</f>
        <v>0</v>
      </c>
      <c r="BC79" s="100">
        <f t="shared" ref="BC79" si="229">$T79*AD79</f>
        <v>0</v>
      </c>
      <c r="BE79" s="96">
        <f t="shared" si="220"/>
        <v>49987</v>
      </c>
      <c r="BG79" t="str">
        <f t="shared" si="212"/>
        <v>Contingency_Optimism Bias/Contingency on SCC Road Schemes_SCC</v>
      </c>
      <c r="BJ79" s="133">
        <f t="shared" si="213"/>
        <v>0</v>
      </c>
      <c r="BK79" s="133">
        <f t="shared" si="214"/>
        <v>0</v>
      </c>
      <c r="BL79" s="133">
        <f t="shared" si="215"/>
        <v>0</v>
      </c>
      <c r="BM79" s="133">
        <f t="shared" si="216"/>
        <v>0</v>
      </c>
      <c r="BN79" s="133">
        <f t="shared" si="217"/>
        <v>0</v>
      </c>
      <c r="BO79" s="133">
        <f t="shared" si="218"/>
        <v>0</v>
      </c>
      <c r="BP79" s="133">
        <f t="shared" si="219"/>
        <v>0</v>
      </c>
      <c r="BR79" s="815"/>
    </row>
    <row r="80" spans="1:70" ht="45" customHeight="1" x14ac:dyDescent="0.25">
      <c r="A80" s="64">
        <v>9</v>
      </c>
      <c r="B80" s="283" t="s">
        <v>296</v>
      </c>
      <c r="C80" s="27" t="s">
        <v>479</v>
      </c>
      <c r="D80" s="27" t="s">
        <v>38</v>
      </c>
      <c r="E80" s="27" t="str">
        <f t="shared" ref="E80" si="230">CONCATENATE(B80,"_",C80,"_",D80)</f>
        <v>Contingency_Optimism Bias/Contingency on SCC Road Schemes_RMBC</v>
      </c>
      <c r="F80" s="27" t="str">
        <f t="shared" ref="F80" si="231">CONCATENATE(B80,"_",D80)</f>
        <v>Contingency_RMBC</v>
      </c>
      <c r="G80" s="37" t="s">
        <v>523</v>
      </c>
      <c r="H80" s="331" t="str">
        <f t="shared" si="208"/>
        <v>Contingency_RMBC_capex</v>
      </c>
      <c r="I80" s="331">
        <v>74</v>
      </c>
      <c r="J80" s="4">
        <f t="shared" si="204"/>
        <v>400400</v>
      </c>
      <c r="K80" s="27"/>
      <c r="L80" s="62"/>
      <c r="M80" s="62">
        <f>CALC_Current_option!$C$228</f>
        <v>400400</v>
      </c>
      <c r="N80" s="62"/>
      <c r="O80" s="62"/>
      <c r="P80" s="62"/>
      <c r="Q80" s="62"/>
      <c r="R80" s="62"/>
      <c r="S80" s="62">
        <f t="shared" ref="S80" si="232">SUM(L80:R80)</f>
        <v>400400</v>
      </c>
      <c r="T80" s="67">
        <f t="shared" ref="T80" si="233">SUMPRODUCT(L80:R80,$L$3:$R$3)</f>
        <v>386386</v>
      </c>
      <c r="U80" s="62"/>
      <c r="W80" s="13"/>
      <c r="X80" s="14"/>
      <c r="Y80" s="653">
        <v>1</v>
      </c>
      <c r="Z80" s="14"/>
      <c r="AA80" s="14"/>
      <c r="AB80" s="14"/>
      <c r="AC80" s="14"/>
      <c r="AD80" s="15"/>
      <c r="AE80" s="32"/>
      <c r="AF80" s="32"/>
      <c r="AH80" s="284">
        <f t="shared" si="210"/>
        <v>74</v>
      </c>
      <c r="AI80" s="90">
        <f t="shared" ref="AI80" si="234">$S80*W80</f>
        <v>0</v>
      </c>
      <c r="AJ80" s="91">
        <f t="shared" ref="AJ80" si="235">$S80*X80</f>
        <v>0</v>
      </c>
      <c r="AK80" s="91">
        <f t="shared" ref="AK80" si="236">$S80*Y80</f>
        <v>400400</v>
      </c>
      <c r="AL80" s="91">
        <f t="shared" ref="AL80" si="237">$S80*Z80</f>
        <v>0</v>
      </c>
      <c r="AM80" s="91">
        <f t="shared" ref="AM80" si="238">$S80*AA80</f>
        <v>0</v>
      </c>
      <c r="AN80" s="91">
        <f t="shared" ref="AN80" si="239">$S80*AB80</f>
        <v>0</v>
      </c>
      <c r="AO80" s="91">
        <f t="shared" ref="AO80" si="240">$S80*AC80</f>
        <v>0</v>
      </c>
      <c r="AP80" s="50">
        <f t="shared" ref="AP80" si="241">$S80*AD80</f>
        <v>0</v>
      </c>
      <c r="AQ80" s="770"/>
      <c r="AR80" s="4">
        <f t="shared" ref="AR80" si="242">SUM(AI80:AP80)</f>
        <v>400400</v>
      </c>
      <c r="AT80" s="4"/>
      <c r="AV80" s="131">
        <f t="shared" ref="AV80" si="243">$T80*W80</f>
        <v>0</v>
      </c>
      <c r="AW80" s="100">
        <f t="shared" ref="AW80" si="244">$T80*X80</f>
        <v>0</v>
      </c>
      <c r="AX80" s="100">
        <f t="shared" ref="AX80" si="245">$T80*Y80</f>
        <v>386386</v>
      </c>
      <c r="AY80" s="100">
        <f t="shared" ref="AY80" si="246">$T80*Z80</f>
        <v>0</v>
      </c>
      <c r="AZ80" s="100">
        <f t="shared" ref="AZ80" si="247">$T80*AA80</f>
        <v>0</v>
      </c>
      <c r="BA80" s="100">
        <f t="shared" ref="BA80" si="248">$T80*AB80</f>
        <v>0</v>
      </c>
      <c r="BB80" s="100">
        <f t="shared" ref="BB80" si="249">$T80*AC80</f>
        <v>0</v>
      </c>
      <c r="BC80" s="100">
        <f t="shared" ref="BC80" si="250">$T80*AD80</f>
        <v>0</v>
      </c>
      <c r="BE80" s="96">
        <f t="shared" ref="BE80" si="251">SUM(AV80:BC80)</f>
        <v>386386</v>
      </c>
      <c r="BG80" t="str">
        <f t="shared" si="212"/>
        <v>Contingency_Optimism Bias/Contingency on SCC Road Schemes_RMBC</v>
      </c>
      <c r="BJ80" s="133">
        <f t="shared" si="213"/>
        <v>0</v>
      </c>
      <c r="BK80" s="133">
        <f t="shared" si="214"/>
        <v>0</v>
      </c>
      <c r="BL80" s="133">
        <f t="shared" si="215"/>
        <v>0</v>
      </c>
      <c r="BM80" s="133">
        <f t="shared" si="216"/>
        <v>0</v>
      </c>
      <c r="BN80" s="133">
        <f t="shared" si="217"/>
        <v>0</v>
      </c>
      <c r="BO80" s="133">
        <f t="shared" si="218"/>
        <v>0</v>
      </c>
      <c r="BP80" s="133">
        <f t="shared" si="219"/>
        <v>0</v>
      </c>
      <c r="BR80" s="815"/>
    </row>
    <row r="81" spans="1:70" ht="15" customHeight="1" x14ac:dyDescent="0.25">
      <c r="A81" s="64"/>
      <c r="B81" s="60"/>
      <c r="C81" s="27"/>
      <c r="D81" s="27"/>
      <c r="E81" s="27"/>
      <c r="F81" s="27"/>
      <c r="G81" s="332"/>
      <c r="H81" s="333"/>
      <c r="I81" s="331">
        <v>75</v>
      </c>
      <c r="J81" s="4">
        <f t="shared" si="204"/>
        <v>0</v>
      </c>
      <c r="K81" s="27"/>
      <c r="L81" s="62"/>
      <c r="M81" s="62"/>
      <c r="N81" s="62"/>
      <c r="O81" s="62"/>
      <c r="P81" s="62"/>
      <c r="Q81" s="62"/>
      <c r="R81" s="62"/>
      <c r="S81" s="62"/>
      <c r="T81" s="67"/>
      <c r="U81" s="62"/>
      <c r="W81" s="33"/>
      <c r="X81" s="34"/>
      <c r="Y81" s="34"/>
      <c r="Z81" s="34"/>
      <c r="AA81" s="34"/>
      <c r="AB81" s="34"/>
      <c r="AC81" s="34"/>
      <c r="AD81" s="35"/>
      <c r="AE81" s="32"/>
      <c r="AF81" s="32"/>
      <c r="AH81" s="284">
        <f t="shared" si="210"/>
        <v>75</v>
      </c>
      <c r="AI81" s="90"/>
      <c r="AJ81" s="91"/>
      <c r="AK81" s="91"/>
      <c r="AL81" s="91"/>
      <c r="AM81" s="91"/>
      <c r="AN81" s="91"/>
      <c r="AO81" s="91"/>
      <c r="AP81" s="50"/>
      <c r="AQ81" s="770"/>
      <c r="AR81" s="4"/>
      <c r="AT81" s="4"/>
      <c r="AV81" s="131"/>
      <c r="AW81" s="100"/>
      <c r="AX81" s="100"/>
      <c r="AY81" s="100"/>
      <c r="AZ81" s="100"/>
      <c r="BA81" s="100"/>
      <c r="BB81" s="100"/>
      <c r="BC81" s="100"/>
      <c r="BE81" s="96"/>
      <c r="BJ81" s="133"/>
      <c r="BK81" s="133"/>
      <c r="BL81" s="133"/>
      <c r="BM81" s="133"/>
      <c r="BN81" s="133"/>
      <c r="BO81" s="133"/>
      <c r="BP81" s="133"/>
      <c r="BR81" s="815"/>
    </row>
    <row r="82" spans="1:70" ht="15" customHeight="1" x14ac:dyDescent="0.25">
      <c r="A82" s="64"/>
      <c r="B82" s="120" t="s">
        <v>118</v>
      </c>
      <c r="C82" s="27"/>
      <c r="D82" s="27"/>
      <c r="E82" s="27"/>
      <c r="F82" s="27"/>
      <c r="G82" s="332"/>
      <c r="H82" s="333"/>
      <c r="I82" s="331">
        <v>76</v>
      </c>
      <c r="J82" s="4">
        <f t="shared" si="204"/>
        <v>0</v>
      </c>
      <c r="K82" s="27"/>
      <c r="L82" s="62"/>
      <c r="M82" s="62"/>
      <c r="N82" s="62"/>
      <c r="O82" s="62"/>
      <c r="P82" s="62"/>
      <c r="Q82" s="62"/>
      <c r="R82" s="62"/>
      <c r="S82" s="62"/>
      <c r="T82" s="67"/>
      <c r="U82" s="62"/>
      <c r="W82" s="33"/>
      <c r="X82" s="34"/>
      <c r="Y82" s="34"/>
      <c r="Z82" s="34"/>
      <c r="AA82" s="34"/>
      <c r="AB82" s="34"/>
      <c r="AC82" s="34"/>
      <c r="AD82" s="35"/>
      <c r="AE82" s="32"/>
      <c r="AF82" s="32"/>
      <c r="AH82" s="284">
        <f t="shared" si="210"/>
        <v>76</v>
      </c>
      <c r="AI82" s="90"/>
      <c r="AJ82" s="91"/>
      <c r="AK82" s="91"/>
      <c r="AL82" s="91"/>
      <c r="AM82" s="91"/>
      <c r="AN82" s="91"/>
      <c r="AO82" s="91"/>
      <c r="AP82" s="50"/>
      <c r="AQ82" s="770"/>
      <c r="AR82" s="4"/>
      <c r="AT82" s="4"/>
      <c r="AV82" s="131"/>
      <c r="AW82" s="100"/>
      <c r="AX82" s="100"/>
      <c r="AY82" s="100"/>
      <c r="AZ82" s="100"/>
      <c r="BA82" s="100"/>
      <c r="BB82" s="100"/>
      <c r="BC82" s="100"/>
      <c r="BE82" s="96"/>
      <c r="BJ82" s="133"/>
      <c r="BK82" s="133"/>
      <c r="BL82" s="133"/>
      <c r="BM82" s="133"/>
      <c r="BN82" s="133"/>
      <c r="BO82" s="133"/>
      <c r="BP82" s="133"/>
      <c r="BR82" s="815"/>
    </row>
    <row r="83" spans="1:70" ht="30" customHeight="1" x14ac:dyDescent="0.25">
      <c r="A83" s="64">
        <v>1</v>
      </c>
      <c r="B83" s="60" t="s">
        <v>29</v>
      </c>
      <c r="C83" s="27" t="s">
        <v>145</v>
      </c>
      <c r="D83" s="27" t="s">
        <v>37</v>
      </c>
      <c r="E83" s="27" t="str">
        <f t="shared" ref="E83" si="252">CONCATENATE(B83,"_",C83,"_",D83)</f>
        <v>ULEV_Public EV Charging Infrastucture - EMF_SCC</v>
      </c>
      <c r="F83" s="27" t="str">
        <f t="shared" si="4"/>
        <v>ULEV_SCC</v>
      </c>
      <c r="G83" s="37" t="s">
        <v>523</v>
      </c>
      <c r="H83" s="331" t="str">
        <f t="shared" si="208"/>
        <v>ULEV_SCC_capex</v>
      </c>
      <c r="I83" s="331">
        <v>77</v>
      </c>
      <c r="J83" s="4">
        <f t="shared" si="204"/>
        <v>515000</v>
      </c>
      <c r="K83" s="27"/>
      <c r="L83" s="62">
        <f>CALC_Current_option!C232</f>
        <v>515000</v>
      </c>
      <c r="M83" s="62">
        <f>CALC_Current_option!C224</f>
        <v>0</v>
      </c>
      <c r="N83" s="62"/>
      <c r="O83" s="62"/>
      <c r="P83" s="62"/>
      <c r="Q83" s="62"/>
      <c r="R83" s="62"/>
      <c r="S83" s="62">
        <f t="shared" si="29"/>
        <v>515000</v>
      </c>
      <c r="T83" s="67">
        <f t="shared" ref="T83:T90" si="253">SUMPRODUCT(L83:R83,$L$3:$R$3)</f>
        <v>515000</v>
      </c>
      <c r="U83" s="62"/>
      <c r="W83" s="656">
        <v>1</v>
      </c>
      <c r="X83" s="14">
        <v>0</v>
      </c>
      <c r="Y83" s="14"/>
      <c r="Z83" s="14"/>
      <c r="AA83" s="14"/>
      <c r="AB83" s="14"/>
      <c r="AC83" s="14"/>
      <c r="AD83" s="15"/>
      <c r="AE83" s="32"/>
      <c r="AF83" s="32"/>
      <c r="AH83" s="284">
        <f t="shared" si="210"/>
        <v>77</v>
      </c>
      <c r="AI83" s="90">
        <f t="shared" ref="AI83:AP90" si="254">$S83*W83</f>
        <v>515000</v>
      </c>
      <c r="AJ83" s="91">
        <f t="shared" si="254"/>
        <v>0</v>
      </c>
      <c r="AK83" s="91">
        <f t="shared" si="254"/>
        <v>0</v>
      </c>
      <c r="AL83" s="91">
        <f t="shared" si="254"/>
        <v>0</v>
      </c>
      <c r="AM83" s="91">
        <f t="shared" si="254"/>
        <v>0</v>
      </c>
      <c r="AN83" s="91">
        <f t="shared" si="254"/>
        <v>0</v>
      </c>
      <c r="AO83" s="91">
        <f t="shared" si="254"/>
        <v>0</v>
      </c>
      <c r="AP83" s="50">
        <f t="shared" si="254"/>
        <v>0</v>
      </c>
      <c r="AQ83" s="770"/>
      <c r="AR83" s="4">
        <f t="shared" ref="AR83:AR144" si="255">SUM(AI83:AP83)</f>
        <v>515000</v>
      </c>
      <c r="AT83" s="4"/>
      <c r="AV83" s="131">
        <f t="shared" ref="AV83:AV144" si="256">$T83*W83</f>
        <v>515000</v>
      </c>
      <c r="AW83" s="100">
        <f t="shared" ref="AW83:AW144" si="257">$T83*X83</f>
        <v>0</v>
      </c>
      <c r="AX83" s="100">
        <f t="shared" ref="AX83:AX144" si="258">$T83*Y83</f>
        <v>0</v>
      </c>
      <c r="AY83" s="100">
        <f t="shared" ref="AY83:AY144" si="259">$T83*Z83</f>
        <v>0</v>
      </c>
      <c r="AZ83" s="100">
        <f t="shared" ref="AZ83:AZ144" si="260">$T83*AA83</f>
        <v>0</v>
      </c>
      <c r="BA83" s="100">
        <f t="shared" ref="BA83:BA144" si="261">$T83*AB83</f>
        <v>0</v>
      </c>
      <c r="BB83" s="100">
        <f t="shared" ref="BB83:BB144" si="262">$T83*AC83</f>
        <v>0</v>
      </c>
      <c r="BC83" s="100">
        <f t="shared" ref="BC83:BC144" si="263">$T83*AD83</f>
        <v>0</v>
      </c>
      <c r="BE83" s="96">
        <f t="shared" si="220"/>
        <v>515000</v>
      </c>
      <c r="BG83" t="str">
        <f t="shared" ref="BG83:BG90" si="264">E83</f>
        <v>ULEV_Public EV Charging Infrastucture - EMF_SCC</v>
      </c>
      <c r="BJ83" s="133">
        <f t="shared" si="213"/>
        <v>0</v>
      </c>
      <c r="BK83" s="133">
        <f t="shared" si="214"/>
        <v>0</v>
      </c>
      <c r="BL83" s="133">
        <f t="shared" si="215"/>
        <v>0</v>
      </c>
      <c r="BM83" s="133">
        <f t="shared" si="216"/>
        <v>0</v>
      </c>
      <c r="BN83" s="133">
        <f t="shared" si="217"/>
        <v>0</v>
      </c>
      <c r="BO83" s="133">
        <f t="shared" si="218"/>
        <v>0</v>
      </c>
      <c r="BP83" s="133">
        <f t="shared" si="219"/>
        <v>0</v>
      </c>
      <c r="BR83" s="815"/>
    </row>
    <row r="84" spans="1:70" ht="30" customHeight="1" x14ac:dyDescent="0.25">
      <c r="A84" s="64">
        <v>2</v>
      </c>
      <c r="B84" s="60" t="s">
        <v>29</v>
      </c>
      <c r="C84" s="27" t="s">
        <v>145</v>
      </c>
      <c r="D84" s="27" t="s">
        <v>38</v>
      </c>
      <c r="E84" s="27" t="str">
        <f>CONCATENATE(B84,"_",C84,"_",D84)</f>
        <v>ULEV_Public EV Charging Infrastucture - EMF_RMBC</v>
      </c>
      <c r="F84" s="27" t="str">
        <f t="shared" si="4"/>
        <v>ULEV_RMBC</v>
      </c>
      <c r="G84" s="37" t="s">
        <v>523</v>
      </c>
      <c r="H84" s="331" t="str">
        <f t="shared" si="208"/>
        <v>ULEV_RMBC_capex</v>
      </c>
      <c r="I84" s="331">
        <v>78</v>
      </c>
      <c r="J84" s="4">
        <f t="shared" si="204"/>
        <v>645000</v>
      </c>
      <c r="K84" s="27"/>
      <c r="L84" s="62">
        <f>CALC_Current_option!C233</f>
        <v>645000</v>
      </c>
      <c r="M84" s="62"/>
      <c r="N84" s="62"/>
      <c r="O84" s="62"/>
      <c r="P84" s="62"/>
      <c r="Q84" s="62"/>
      <c r="R84" s="62"/>
      <c r="S84" s="62">
        <f t="shared" si="29"/>
        <v>645000</v>
      </c>
      <c r="T84" s="67">
        <f t="shared" si="253"/>
        <v>645000</v>
      </c>
      <c r="U84" s="62"/>
      <c r="W84" s="656">
        <v>1</v>
      </c>
      <c r="X84" s="14">
        <v>0</v>
      </c>
      <c r="Y84" s="14"/>
      <c r="Z84" s="14"/>
      <c r="AA84" s="14"/>
      <c r="AB84" s="14"/>
      <c r="AC84" s="14"/>
      <c r="AD84" s="15"/>
      <c r="AE84" s="32"/>
      <c r="AF84" s="32"/>
      <c r="AH84" s="284">
        <f t="shared" si="210"/>
        <v>78</v>
      </c>
      <c r="AI84" s="90">
        <f t="shared" si="254"/>
        <v>645000</v>
      </c>
      <c r="AJ84" s="91">
        <f t="shared" si="254"/>
        <v>0</v>
      </c>
      <c r="AK84" s="91">
        <f t="shared" si="254"/>
        <v>0</v>
      </c>
      <c r="AL84" s="91">
        <f t="shared" si="254"/>
        <v>0</v>
      </c>
      <c r="AM84" s="91">
        <f t="shared" si="254"/>
        <v>0</v>
      </c>
      <c r="AN84" s="91">
        <f t="shared" si="254"/>
        <v>0</v>
      </c>
      <c r="AO84" s="91">
        <f t="shared" si="254"/>
        <v>0</v>
      </c>
      <c r="AP84" s="50">
        <f t="shared" si="254"/>
        <v>0</v>
      </c>
      <c r="AQ84" s="770"/>
      <c r="AR84" s="4">
        <f t="shared" si="255"/>
        <v>645000</v>
      </c>
      <c r="AT84" s="4"/>
      <c r="AV84" s="131">
        <f t="shared" si="256"/>
        <v>645000</v>
      </c>
      <c r="AW84" s="100">
        <f t="shared" si="257"/>
        <v>0</v>
      </c>
      <c r="AX84" s="100">
        <f t="shared" si="258"/>
        <v>0</v>
      </c>
      <c r="AY84" s="100">
        <f t="shared" si="259"/>
        <v>0</v>
      </c>
      <c r="AZ84" s="100">
        <f t="shared" si="260"/>
        <v>0</v>
      </c>
      <c r="BA84" s="100">
        <f t="shared" si="261"/>
        <v>0</v>
      </c>
      <c r="BB84" s="100">
        <f t="shared" si="262"/>
        <v>0</v>
      </c>
      <c r="BC84" s="100">
        <f t="shared" si="263"/>
        <v>0</v>
      </c>
      <c r="BE84" s="96">
        <f t="shared" si="220"/>
        <v>645000</v>
      </c>
      <c r="BG84" t="str">
        <f t="shared" si="264"/>
        <v>ULEV_Public EV Charging Infrastucture - EMF_RMBC</v>
      </c>
      <c r="BJ84" s="133">
        <f t="shared" si="213"/>
        <v>0</v>
      </c>
      <c r="BK84" s="133">
        <f t="shared" si="214"/>
        <v>0</v>
      </c>
      <c r="BL84" s="133">
        <f t="shared" si="215"/>
        <v>0</v>
      </c>
      <c r="BM84" s="133">
        <f t="shared" si="216"/>
        <v>0</v>
      </c>
      <c r="BN84" s="133">
        <f t="shared" si="217"/>
        <v>0</v>
      </c>
      <c r="BO84" s="133">
        <f t="shared" si="218"/>
        <v>0</v>
      </c>
      <c r="BP84" s="133">
        <f t="shared" si="219"/>
        <v>0</v>
      </c>
      <c r="BR84" s="815"/>
    </row>
    <row r="85" spans="1:70" ht="30" customHeight="1" x14ac:dyDescent="0.25">
      <c r="A85" s="64">
        <v>3</v>
      </c>
      <c r="B85" s="60" t="s">
        <v>29</v>
      </c>
      <c r="C85" s="27" t="s">
        <v>93</v>
      </c>
      <c r="D85" s="27" t="s">
        <v>37</v>
      </c>
      <c r="E85" s="27" t="str">
        <f t="shared" si="31"/>
        <v>ULEV_Electric Taxi Charging Infrastructure (OLEV Funded)_SCC</v>
      </c>
      <c r="F85" s="27" t="str">
        <f t="shared" ref="F85:F146" si="265">CONCATENATE(B85,"_",D85)</f>
        <v>ULEV_SCC</v>
      </c>
      <c r="G85" s="37" t="s">
        <v>523</v>
      </c>
      <c r="H85" s="331" t="str">
        <f t="shared" si="208"/>
        <v>ULEV_SCC_capex</v>
      </c>
      <c r="I85" s="331">
        <v>79</v>
      </c>
      <c r="J85" s="4">
        <f t="shared" si="204"/>
        <v>650000</v>
      </c>
      <c r="K85" s="27"/>
      <c r="L85" s="62"/>
      <c r="M85" s="62">
        <f>CALC_Current_option!C234</f>
        <v>650000</v>
      </c>
      <c r="N85" s="62"/>
      <c r="O85" s="62"/>
      <c r="P85" s="62"/>
      <c r="Q85" s="62"/>
      <c r="R85" s="62"/>
      <c r="S85" s="62">
        <f t="shared" si="29"/>
        <v>650000</v>
      </c>
      <c r="T85" s="67">
        <f t="shared" si="253"/>
        <v>627250</v>
      </c>
      <c r="U85" s="62"/>
      <c r="W85" s="13"/>
      <c r="X85" s="661">
        <v>0.75</v>
      </c>
      <c r="Y85" s="77"/>
      <c r="Z85" s="14"/>
      <c r="AA85" s="14"/>
      <c r="AB85" s="662">
        <v>0.25</v>
      </c>
      <c r="AC85" s="73">
        <f t="shared" ref="AC85:AC90" si="266">1-SUM(W85:AB85)</f>
        <v>0</v>
      </c>
      <c r="AD85" s="15"/>
      <c r="AE85" s="32"/>
      <c r="AF85" s="32"/>
      <c r="AH85" s="284">
        <f t="shared" si="210"/>
        <v>79</v>
      </c>
      <c r="AI85" s="90">
        <f t="shared" si="254"/>
        <v>0</v>
      </c>
      <c r="AJ85" s="91">
        <f t="shared" si="254"/>
        <v>487500</v>
      </c>
      <c r="AK85" s="91">
        <f t="shared" si="254"/>
        <v>0</v>
      </c>
      <c r="AL85" s="91">
        <f t="shared" si="254"/>
        <v>0</v>
      </c>
      <c r="AM85" s="91">
        <f t="shared" si="254"/>
        <v>0</v>
      </c>
      <c r="AN85" s="91">
        <f t="shared" si="254"/>
        <v>162500</v>
      </c>
      <c r="AO85" s="91">
        <f t="shared" si="254"/>
        <v>0</v>
      </c>
      <c r="AP85" s="50">
        <f t="shared" si="254"/>
        <v>0</v>
      </c>
      <c r="AQ85" s="770"/>
      <c r="AR85" s="4">
        <f t="shared" si="255"/>
        <v>650000</v>
      </c>
      <c r="AT85" s="4"/>
      <c r="AV85" s="131">
        <f t="shared" si="256"/>
        <v>0</v>
      </c>
      <c r="AW85" s="100">
        <f t="shared" si="257"/>
        <v>470437.5</v>
      </c>
      <c r="AX85" s="100">
        <f t="shared" si="258"/>
        <v>0</v>
      </c>
      <c r="AY85" s="100">
        <f t="shared" si="259"/>
        <v>0</v>
      </c>
      <c r="AZ85" s="100">
        <f t="shared" si="260"/>
        <v>0</v>
      </c>
      <c r="BA85" s="100">
        <f t="shared" si="261"/>
        <v>156812.5</v>
      </c>
      <c r="BB85" s="100">
        <f t="shared" si="262"/>
        <v>0</v>
      </c>
      <c r="BC85" s="100">
        <f t="shared" si="263"/>
        <v>0</v>
      </c>
      <c r="BE85" s="96">
        <f t="shared" si="220"/>
        <v>627250</v>
      </c>
      <c r="BG85" t="str">
        <f t="shared" si="264"/>
        <v>ULEV_Electric Taxi Charging Infrastructure (OLEV Funded)_SCC</v>
      </c>
      <c r="BJ85" s="133">
        <f t="shared" si="213"/>
        <v>0</v>
      </c>
      <c r="BK85" s="133">
        <f t="shared" si="214"/>
        <v>0</v>
      </c>
      <c r="BL85" s="133">
        <f t="shared" si="215"/>
        <v>0</v>
      </c>
      <c r="BM85" s="133">
        <f t="shared" si="216"/>
        <v>0</v>
      </c>
      <c r="BN85" s="133">
        <f t="shared" si="217"/>
        <v>0</v>
      </c>
      <c r="BO85" s="133">
        <f t="shared" si="218"/>
        <v>0</v>
      </c>
      <c r="BP85" s="133">
        <f t="shared" si="219"/>
        <v>0</v>
      </c>
      <c r="BR85" s="815"/>
    </row>
    <row r="86" spans="1:70" ht="30" customHeight="1" x14ac:dyDescent="0.25">
      <c r="A86" s="64">
        <v>4</v>
      </c>
      <c r="B86" s="60" t="s">
        <v>29</v>
      </c>
      <c r="C86" s="27" t="s">
        <v>526</v>
      </c>
      <c r="D86" s="27" t="s">
        <v>37</v>
      </c>
      <c r="E86" s="27" t="str">
        <f t="shared" si="31"/>
        <v>ULEV_Follow-up charging infrastructure for taxis_SCC</v>
      </c>
      <c r="F86" s="27" t="str">
        <f t="shared" si="265"/>
        <v>ULEV_SCC</v>
      </c>
      <c r="G86" s="37" t="s">
        <v>523</v>
      </c>
      <c r="H86" s="331" t="str">
        <f t="shared" si="208"/>
        <v>ULEV_SCC_capex</v>
      </c>
      <c r="I86" s="331">
        <v>80</v>
      </c>
      <c r="J86" s="4">
        <f t="shared" si="204"/>
        <v>975000</v>
      </c>
      <c r="K86" s="27"/>
      <c r="L86" s="62"/>
      <c r="M86" s="62"/>
      <c r="N86" s="30">
        <f>CALC_Current_option!C235</f>
        <v>1300000</v>
      </c>
      <c r="O86" s="62"/>
      <c r="P86" s="62"/>
      <c r="Q86" s="62"/>
      <c r="R86" s="62"/>
      <c r="S86" s="62">
        <f t="shared" ref="S86" si="267">SUM(L86:R86)</f>
        <v>1300000</v>
      </c>
      <c r="T86" s="67">
        <f t="shared" ref="T86" si="268">SUMPRODUCT(L86:R86,$L$3:$R$3)</f>
        <v>1210592.5</v>
      </c>
      <c r="U86" s="62"/>
      <c r="W86" s="13"/>
      <c r="X86" s="661">
        <v>0.75</v>
      </c>
      <c r="Y86" s="14"/>
      <c r="Z86" s="14"/>
      <c r="AA86" s="14"/>
      <c r="AB86" s="73"/>
      <c r="AC86" s="73">
        <f t="shared" si="266"/>
        <v>0.25</v>
      </c>
      <c r="AD86" s="15"/>
      <c r="AE86" s="32"/>
      <c r="AF86" s="32"/>
      <c r="AH86" s="284">
        <f t="shared" si="210"/>
        <v>80</v>
      </c>
      <c r="AI86" s="90">
        <f t="shared" ref="AI86" si="269">$S86*W86</f>
        <v>0</v>
      </c>
      <c r="AJ86" s="91">
        <f t="shared" ref="AJ86" si="270">$S86*X86</f>
        <v>975000</v>
      </c>
      <c r="AK86" s="91">
        <f t="shared" ref="AK86" si="271">$S86*Y86</f>
        <v>0</v>
      </c>
      <c r="AL86" s="91">
        <f t="shared" ref="AL86" si="272">$S86*Z86</f>
        <v>0</v>
      </c>
      <c r="AM86" s="91">
        <f t="shared" ref="AM86" si="273">$S86*AA86</f>
        <v>0</v>
      </c>
      <c r="AN86" s="91">
        <f t="shared" ref="AN86" si="274">$S86*AB86</f>
        <v>0</v>
      </c>
      <c r="AO86" s="91">
        <f t="shared" ref="AO86" si="275">$S86*AC86</f>
        <v>325000</v>
      </c>
      <c r="AP86" s="50">
        <f t="shared" ref="AP86" si="276">$S86*AD86</f>
        <v>0</v>
      </c>
      <c r="AQ86" s="770"/>
      <c r="AR86" s="4">
        <f t="shared" ref="AR86" si="277">SUM(AI86:AP86)</f>
        <v>1300000</v>
      </c>
      <c r="AT86" s="4"/>
      <c r="AV86" s="131">
        <f t="shared" ref="AV86" si="278">$T86*W86</f>
        <v>0</v>
      </c>
      <c r="AW86" s="100">
        <f t="shared" ref="AW86" si="279">$T86*X86</f>
        <v>907944.375</v>
      </c>
      <c r="AX86" s="100">
        <f t="shared" ref="AX86" si="280">$T86*Y86</f>
        <v>0</v>
      </c>
      <c r="AY86" s="100">
        <f t="shared" ref="AY86" si="281">$T86*Z86</f>
        <v>0</v>
      </c>
      <c r="AZ86" s="100">
        <f t="shared" ref="AZ86" si="282">$T86*AA86</f>
        <v>0</v>
      </c>
      <c r="BA86" s="100">
        <f t="shared" ref="BA86" si="283">$T86*AB86</f>
        <v>0</v>
      </c>
      <c r="BB86" s="100">
        <f t="shared" ref="BB86" si="284">$T86*AC86</f>
        <v>302648.125</v>
      </c>
      <c r="BC86" s="100">
        <f t="shared" ref="BC86" si="285">$T86*AD86</f>
        <v>0</v>
      </c>
      <c r="BE86" s="96">
        <f t="shared" si="220"/>
        <v>1210592.5</v>
      </c>
      <c r="BG86" t="str">
        <f t="shared" si="264"/>
        <v>ULEV_Follow-up charging infrastructure for taxis_SCC</v>
      </c>
      <c r="BJ86" s="133">
        <f t="shared" si="213"/>
        <v>0</v>
      </c>
      <c r="BK86" s="133">
        <f t="shared" si="214"/>
        <v>0</v>
      </c>
      <c r="BL86" s="133">
        <f t="shared" si="215"/>
        <v>325000</v>
      </c>
      <c r="BM86" s="133">
        <f t="shared" si="216"/>
        <v>0</v>
      </c>
      <c r="BN86" s="133">
        <f t="shared" si="217"/>
        <v>0</v>
      </c>
      <c r="BO86" s="133">
        <f t="shared" si="218"/>
        <v>0</v>
      </c>
      <c r="BP86" s="133">
        <f t="shared" si="219"/>
        <v>0</v>
      </c>
      <c r="BR86" s="815"/>
    </row>
    <row r="87" spans="1:70" ht="30" customHeight="1" x14ac:dyDescent="0.25">
      <c r="A87" s="64">
        <v>5</v>
      </c>
      <c r="B87" s="60" t="s">
        <v>29</v>
      </c>
      <c r="C87" s="27" t="s">
        <v>146</v>
      </c>
      <c r="D87" s="27" t="s">
        <v>37</v>
      </c>
      <c r="E87" s="27" t="str">
        <f t="shared" si="31"/>
        <v>ULEV_Public EV Charging Infrastucture - New_SCC</v>
      </c>
      <c r="F87" s="27" t="str">
        <f t="shared" si="265"/>
        <v>ULEV_SCC</v>
      </c>
      <c r="G87" s="37" t="s">
        <v>523</v>
      </c>
      <c r="H87" s="331" t="str">
        <f t="shared" si="208"/>
        <v>ULEV_SCC_capex</v>
      </c>
      <c r="I87" s="331">
        <v>81</v>
      </c>
      <c r="J87" s="4">
        <f t="shared" si="204"/>
        <v>225000</v>
      </c>
      <c r="K87" s="27"/>
      <c r="L87" s="62"/>
      <c r="M87" s="62">
        <f>CALC_Current_option!C236</f>
        <v>300000</v>
      </c>
      <c r="N87" s="62"/>
      <c r="O87" s="62"/>
      <c r="P87" s="62"/>
      <c r="Q87" s="62"/>
      <c r="R87" s="62"/>
      <c r="S87" s="62">
        <f t="shared" si="29"/>
        <v>300000</v>
      </c>
      <c r="T87" s="67">
        <f t="shared" si="253"/>
        <v>289500</v>
      </c>
      <c r="U87" s="62"/>
      <c r="W87" s="13"/>
      <c r="X87" s="661">
        <v>0.75</v>
      </c>
      <c r="Y87" s="14"/>
      <c r="Z87" s="14"/>
      <c r="AA87" s="14"/>
      <c r="AB87" s="73"/>
      <c r="AC87" s="73">
        <f t="shared" si="266"/>
        <v>0.25</v>
      </c>
      <c r="AD87" s="15"/>
      <c r="AE87" s="32"/>
      <c r="AF87" s="32"/>
      <c r="AH87" s="284">
        <f t="shared" si="210"/>
        <v>81</v>
      </c>
      <c r="AI87" s="90">
        <f t="shared" si="254"/>
        <v>0</v>
      </c>
      <c r="AJ87" s="91">
        <f t="shared" si="254"/>
        <v>225000</v>
      </c>
      <c r="AK87" s="91">
        <f t="shared" si="254"/>
        <v>0</v>
      </c>
      <c r="AL87" s="91">
        <f t="shared" si="254"/>
        <v>0</v>
      </c>
      <c r="AM87" s="91">
        <f t="shared" si="254"/>
        <v>0</v>
      </c>
      <c r="AN87" s="91">
        <f t="shared" si="254"/>
        <v>0</v>
      </c>
      <c r="AO87" s="91">
        <f t="shared" si="254"/>
        <v>75000</v>
      </c>
      <c r="AP87" s="50">
        <f t="shared" si="254"/>
        <v>0</v>
      </c>
      <c r="AQ87" s="770"/>
      <c r="AR87" s="4">
        <f t="shared" si="255"/>
        <v>300000</v>
      </c>
      <c r="AT87" s="4"/>
      <c r="AV87" s="131">
        <f t="shared" si="256"/>
        <v>0</v>
      </c>
      <c r="AW87" s="100">
        <f t="shared" si="257"/>
        <v>217125</v>
      </c>
      <c r="AX87" s="100">
        <f t="shared" si="258"/>
        <v>0</v>
      </c>
      <c r="AY87" s="100">
        <f t="shared" si="259"/>
        <v>0</v>
      </c>
      <c r="AZ87" s="100">
        <f t="shared" si="260"/>
        <v>0</v>
      </c>
      <c r="BA87" s="100">
        <f t="shared" si="261"/>
        <v>0</v>
      </c>
      <c r="BB87" s="100">
        <f t="shared" si="262"/>
        <v>72375</v>
      </c>
      <c r="BC87" s="100">
        <f t="shared" si="263"/>
        <v>0</v>
      </c>
      <c r="BE87" s="96">
        <f t="shared" si="220"/>
        <v>289500</v>
      </c>
      <c r="BG87" t="str">
        <f t="shared" si="264"/>
        <v>ULEV_Public EV Charging Infrastucture - New_SCC</v>
      </c>
      <c r="BJ87" s="133">
        <f t="shared" si="213"/>
        <v>0</v>
      </c>
      <c r="BK87" s="133">
        <f t="shared" si="214"/>
        <v>75000</v>
      </c>
      <c r="BL87" s="133">
        <f t="shared" si="215"/>
        <v>0</v>
      </c>
      <c r="BM87" s="133">
        <f t="shared" si="216"/>
        <v>0</v>
      </c>
      <c r="BN87" s="133">
        <f t="shared" si="217"/>
        <v>0</v>
      </c>
      <c r="BO87" s="133">
        <f t="shared" si="218"/>
        <v>0</v>
      </c>
      <c r="BP87" s="133">
        <f t="shared" si="219"/>
        <v>0</v>
      </c>
      <c r="BR87" s="815"/>
    </row>
    <row r="88" spans="1:70" ht="30" customHeight="1" x14ac:dyDescent="0.25">
      <c r="A88" s="64">
        <v>6</v>
      </c>
      <c r="B88" s="60" t="s">
        <v>29</v>
      </c>
      <c r="C88" s="27" t="s">
        <v>147</v>
      </c>
      <c r="D88" s="27" t="s">
        <v>38</v>
      </c>
      <c r="E88" s="27" t="str">
        <f t="shared" si="31"/>
        <v>ULEV_Public EV Charging Infrastucture - new_RMBC</v>
      </c>
      <c r="F88" s="27" t="str">
        <f t="shared" si="265"/>
        <v>ULEV_RMBC</v>
      </c>
      <c r="G88" s="37" t="s">
        <v>523</v>
      </c>
      <c r="H88" s="331" t="str">
        <f t="shared" si="208"/>
        <v>ULEV_RMBC_capex</v>
      </c>
      <c r="I88" s="331">
        <v>82</v>
      </c>
      <c r="J88" s="4">
        <f t="shared" si="204"/>
        <v>150000</v>
      </c>
      <c r="K88" s="27"/>
      <c r="L88" s="62"/>
      <c r="M88" s="62">
        <f>CALC_Current_option!C237</f>
        <v>200000</v>
      </c>
      <c r="N88" s="62"/>
      <c r="O88" s="62"/>
      <c r="P88" s="62"/>
      <c r="Q88" s="62"/>
      <c r="R88" s="62"/>
      <c r="S88" s="62">
        <f t="shared" si="29"/>
        <v>200000</v>
      </c>
      <c r="T88" s="67">
        <f t="shared" si="253"/>
        <v>193000</v>
      </c>
      <c r="U88" s="62"/>
      <c r="W88" s="13"/>
      <c r="X88" s="661">
        <v>0.75</v>
      </c>
      <c r="Y88" s="14"/>
      <c r="Z88" s="14"/>
      <c r="AA88" s="14"/>
      <c r="AB88" s="73"/>
      <c r="AC88" s="73">
        <f t="shared" si="266"/>
        <v>0.25</v>
      </c>
      <c r="AD88" s="15"/>
      <c r="AE88" s="32"/>
      <c r="AF88" s="32"/>
      <c r="AH88" s="284">
        <f t="shared" si="210"/>
        <v>82</v>
      </c>
      <c r="AI88" s="90">
        <f t="shared" si="254"/>
        <v>0</v>
      </c>
      <c r="AJ88" s="91">
        <f t="shared" si="254"/>
        <v>150000</v>
      </c>
      <c r="AK88" s="91">
        <f t="shared" si="254"/>
        <v>0</v>
      </c>
      <c r="AL88" s="91">
        <f t="shared" si="254"/>
        <v>0</v>
      </c>
      <c r="AM88" s="91">
        <f t="shared" si="254"/>
        <v>0</v>
      </c>
      <c r="AN88" s="91">
        <f t="shared" si="254"/>
        <v>0</v>
      </c>
      <c r="AO88" s="91">
        <f t="shared" si="254"/>
        <v>50000</v>
      </c>
      <c r="AP88" s="50">
        <f t="shared" si="254"/>
        <v>0</v>
      </c>
      <c r="AQ88" s="770"/>
      <c r="AR88" s="4">
        <f t="shared" si="255"/>
        <v>200000</v>
      </c>
      <c r="AT88" s="4"/>
      <c r="AV88" s="131">
        <f t="shared" si="256"/>
        <v>0</v>
      </c>
      <c r="AW88" s="100">
        <f t="shared" si="257"/>
        <v>144750</v>
      </c>
      <c r="AX88" s="100">
        <f t="shared" si="258"/>
        <v>0</v>
      </c>
      <c r="AY88" s="100">
        <f t="shared" si="259"/>
        <v>0</v>
      </c>
      <c r="AZ88" s="100">
        <f t="shared" si="260"/>
        <v>0</v>
      </c>
      <c r="BA88" s="100">
        <f t="shared" si="261"/>
        <v>0</v>
      </c>
      <c r="BB88" s="100">
        <f t="shared" si="262"/>
        <v>48250</v>
      </c>
      <c r="BC88" s="100">
        <f t="shared" si="263"/>
        <v>0</v>
      </c>
      <c r="BE88" s="96">
        <f t="shared" si="220"/>
        <v>193000</v>
      </c>
      <c r="BG88" t="str">
        <f t="shared" si="264"/>
        <v>ULEV_Public EV Charging Infrastucture - new_RMBC</v>
      </c>
      <c r="BJ88" s="133">
        <f t="shared" si="213"/>
        <v>0</v>
      </c>
      <c r="BK88" s="133">
        <f t="shared" si="214"/>
        <v>50000</v>
      </c>
      <c r="BL88" s="133">
        <f t="shared" si="215"/>
        <v>0</v>
      </c>
      <c r="BM88" s="133">
        <f t="shared" si="216"/>
        <v>0</v>
      </c>
      <c r="BN88" s="133">
        <f t="shared" si="217"/>
        <v>0</v>
      </c>
      <c r="BO88" s="133">
        <f t="shared" si="218"/>
        <v>0</v>
      </c>
      <c r="BP88" s="133">
        <f t="shared" si="219"/>
        <v>0</v>
      </c>
      <c r="BR88" s="815"/>
    </row>
    <row r="89" spans="1:70" ht="15" customHeight="1" x14ac:dyDescent="0.25">
      <c r="A89" s="64">
        <v>7</v>
      </c>
      <c r="B89" s="60" t="s">
        <v>29</v>
      </c>
      <c r="C89" s="123" t="str">
        <f>CALC_Current_option!B238</f>
        <v>ULEV Infrastructure for LGVs</v>
      </c>
      <c r="D89" s="27" t="s">
        <v>37</v>
      </c>
      <c r="E89" s="27" t="str">
        <f t="shared" si="31"/>
        <v>ULEV_ULEV Infrastructure for LGVs_SCC</v>
      </c>
      <c r="F89" s="27" t="str">
        <f t="shared" si="265"/>
        <v>ULEV_SCC</v>
      </c>
      <c r="G89" s="37" t="s">
        <v>523</v>
      </c>
      <c r="H89" s="331" t="str">
        <f t="shared" si="208"/>
        <v>ULEV_SCC_capex</v>
      </c>
      <c r="I89" s="331">
        <v>83</v>
      </c>
      <c r="J89" s="4">
        <f t="shared" si="204"/>
        <v>75000</v>
      </c>
      <c r="K89" s="27"/>
      <c r="L89" s="62">
        <f>L57*CALC_Current_option!$C$238</f>
        <v>20000</v>
      </c>
      <c r="M89" s="62">
        <f>M57*CALC_Current_option!$C$238</f>
        <v>60000</v>
      </c>
      <c r="N89" s="62">
        <f>N57*CALC_Current_option!$C$238</f>
        <v>20000</v>
      </c>
      <c r="O89" s="62">
        <f>O57*CALC_Current_option!$C$238</f>
        <v>0</v>
      </c>
      <c r="P89" s="62">
        <f>P57*CALC_Current_option!$C$238</f>
        <v>0</v>
      </c>
      <c r="Q89" s="62">
        <f>Q57*CALC_Current_option!$C$238</f>
        <v>0</v>
      </c>
      <c r="R89" s="62"/>
      <c r="S89" s="62">
        <f t="shared" si="29"/>
        <v>100000</v>
      </c>
      <c r="T89" s="67">
        <f t="shared" si="253"/>
        <v>96524.5</v>
      </c>
      <c r="U89" s="62"/>
      <c r="W89" s="53"/>
      <c r="X89" s="661">
        <v>0.75</v>
      </c>
      <c r="Y89" s="14"/>
      <c r="Z89" s="14"/>
      <c r="AA89" s="14"/>
      <c r="AB89" s="662">
        <v>0</v>
      </c>
      <c r="AC89" s="73">
        <f t="shared" si="266"/>
        <v>0.25</v>
      </c>
      <c r="AD89" s="54"/>
      <c r="AE89" s="32"/>
      <c r="AF89" s="32"/>
      <c r="AH89" s="284">
        <f t="shared" si="210"/>
        <v>83</v>
      </c>
      <c r="AI89" s="90">
        <f t="shared" si="254"/>
        <v>0</v>
      </c>
      <c r="AJ89" s="91">
        <f t="shared" si="254"/>
        <v>75000</v>
      </c>
      <c r="AK89" s="91">
        <f t="shared" si="254"/>
        <v>0</v>
      </c>
      <c r="AL89" s="91">
        <f t="shared" si="254"/>
        <v>0</v>
      </c>
      <c r="AM89" s="91">
        <f t="shared" si="254"/>
        <v>0</v>
      </c>
      <c r="AN89" s="91">
        <f t="shared" si="254"/>
        <v>0</v>
      </c>
      <c r="AO89" s="91">
        <f t="shared" si="254"/>
        <v>25000</v>
      </c>
      <c r="AP89" s="50">
        <f t="shared" si="254"/>
        <v>0</v>
      </c>
      <c r="AQ89" s="770"/>
      <c r="AR89" s="4">
        <f t="shared" si="255"/>
        <v>100000</v>
      </c>
      <c r="AT89" s="4"/>
      <c r="AV89" s="131">
        <f t="shared" si="256"/>
        <v>0</v>
      </c>
      <c r="AW89" s="100">
        <f t="shared" si="257"/>
        <v>72393.375</v>
      </c>
      <c r="AX89" s="100">
        <f t="shared" si="258"/>
        <v>0</v>
      </c>
      <c r="AY89" s="100">
        <f t="shared" si="259"/>
        <v>0</v>
      </c>
      <c r="AZ89" s="100">
        <f t="shared" si="260"/>
        <v>0</v>
      </c>
      <c r="BA89" s="100">
        <f t="shared" si="261"/>
        <v>0</v>
      </c>
      <c r="BB89" s="100">
        <f t="shared" si="262"/>
        <v>24131.125</v>
      </c>
      <c r="BC89" s="100">
        <f t="shared" si="263"/>
        <v>0</v>
      </c>
      <c r="BE89" s="96">
        <f t="shared" si="220"/>
        <v>96524.5</v>
      </c>
      <c r="BG89" t="str">
        <f t="shared" si="264"/>
        <v>ULEV_ULEV Infrastructure for LGVs_SCC</v>
      </c>
      <c r="BJ89" s="133">
        <f t="shared" si="213"/>
        <v>5000</v>
      </c>
      <c r="BK89" s="133">
        <f t="shared" si="214"/>
        <v>15000</v>
      </c>
      <c r="BL89" s="133">
        <f t="shared" si="215"/>
        <v>5000</v>
      </c>
      <c r="BM89" s="133">
        <f t="shared" si="216"/>
        <v>0</v>
      </c>
      <c r="BN89" s="133">
        <f t="shared" si="217"/>
        <v>0</v>
      </c>
      <c r="BO89" s="133">
        <f t="shared" si="218"/>
        <v>0</v>
      </c>
      <c r="BP89" s="133">
        <f t="shared" si="219"/>
        <v>0</v>
      </c>
      <c r="BR89" s="815"/>
    </row>
    <row r="90" spans="1:70" ht="30" customHeight="1" x14ac:dyDescent="0.25">
      <c r="A90" s="64">
        <v>8</v>
      </c>
      <c r="B90" s="60" t="s">
        <v>29</v>
      </c>
      <c r="C90" s="123" t="str">
        <f>CALC_Current_option!B239</f>
        <v>Heavy Goods Vehicle Charging Infrastructure (not included here?)</v>
      </c>
      <c r="D90" s="27" t="s">
        <v>37</v>
      </c>
      <c r="E90" s="27" t="str">
        <f t="shared" si="31"/>
        <v>ULEV_Heavy Goods Vehicle Charging Infrastructure (not included here?)_SCC</v>
      </c>
      <c r="F90" s="27" t="str">
        <f t="shared" si="265"/>
        <v>ULEV_SCC</v>
      </c>
      <c r="G90" s="37" t="s">
        <v>523</v>
      </c>
      <c r="H90" s="331" t="str">
        <f t="shared" si="208"/>
        <v>ULEV_SCC_capex</v>
      </c>
      <c r="I90" s="331">
        <v>84</v>
      </c>
      <c r="J90" s="4">
        <f t="shared" si="204"/>
        <v>0</v>
      </c>
      <c r="K90" s="27"/>
      <c r="L90" s="62"/>
      <c r="M90" s="62">
        <f>CALC_Current_option!C239</f>
        <v>0</v>
      </c>
      <c r="N90" s="62"/>
      <c r="O90" s="62"/>
      <c r="P90" s="62"/>
      <c r="Q90" s="62"/>
      <c r="R90" s="62"/>
      <c r="S90" s="62">
        <f t="shared" si="29"/>
        <v>0</v>
      </c>
      <c r="T90" s="67">
        <f t="shared" si="253"/>
        <v>0</v>
      </c>
      <c r="U90" s="62"/>
      <c r="W90" s="14"/>
      <c r="X90" s="661">
        <v>0.75</v>
      </c>
      <c r="Y90" s="14"/>
      <c r="Z90" s="14"/>
      <c r="AA90" s="14"/>
      <c r="AB90" s="663">
        <v>0</v>
      </c>
      <c r="AC90" s="73">
        <f t="shared" si="266"/>
        <v>0.25</v>
      </c>
      <c r="AD90" s="14"/>
      <c r="AE90" s="32"/>
      <c r="AF90" s="32"/>
      <c r="AH90" s="284">
        <f t="shared" si="210"/>
        <v>84</v>
      </c>
      <c r="AI90" s="90">
        <f t="shared" si="254"/>
        <v>0</v>
      </c>
      <c r="AJ90" s="91">
        <f t="shared" si="254"/>
        <v>0</v>
      </c>
      <c r="AK90" s="91">
        <f t="shared" si="254"/>
        <v>0</v>
      </c>
      <c r="AL90" s="91">
        <f t="shared" si="254"/>
        <v>0</v>
      </c>
      <c r="AM90" s="91">
        <f t="shared" si="254"/>
        <v>0</v>
      </c>
      <c r="AN90" s="91">
        <f t="shared" si="254"/>
        <v>0</v>
      </c>
      <c r="AO90" s="91">
        <f t="shared" si="254"/>
        <v>0</v>
      </c>
      <c r="AP90" s="50">
        <f t="shared" si="254"/>
        <v>0</v>
      </c>
      <c r="AQ90" s="770"/>
      <c r="AR90" s="4">
        <f t="shared" si="255"/>
        <v>0</v>
      </c>
      <c r="AT90" s="4"/>
      <c r="AV90" s="131">
        <f t="shared" si="256"/>
        <v>0</v>
      </c>
      <c r="AW90" s="100">
        <f t="shared" si="257"/>
        <v>0</v>
      </c>
      <c r="AX90" s="100">
        <f t="shared" si="258"/>
        <v>0</v>
      </c>
      <c r="AY90" s="100">
        <f t="shared" si="259"/>
        <v>0</v>
      </c>
      <c r="AZ90" s="100">
        <f t="shared" si="260"/>
        <v>0</v>
      </c>
      <c r="BA90" s="100">
        <f t="shared" si="261"/>
        <v>0</v>
      </c>
      <c r="BB90" s="100">
        <f t="shared" si="262"/>
        <v>0</v>
      </c>
      <c r="BC90" s="100">
        <f t="shared" si="263"/>
        <v>0</v>
      </c>
      <c r="BE90" s="96">
        <f t="shared" si="220"/>
        <v>0</v>
      </c>
      <c r="BG90" t="str">
        <f t="shared" si="264"/>
        <v>ULEV_Heavy Goods Vehicle Charging Infrastructure (not included here?)_SCC</v>
      </c>
      <c r="BJ90" s="133">
        <f t="shared" si="213"/>
        <v>0</v>
      </c>
      <c r="BK90" s="133">
        <f t="shared" si="214"/>
        <v>0</v>
      </c>
      <c r="BL90" s="133">
        <f t="shared" si="215"/>
        <v>0</v>
      </c>
      <c r="BM90" s="133">
        <f t="shared" si="216"/>
        <v>0</v>
      </c>
      <c r="BN90" s="133">
        <f t="shared" si="217"/>
        <v>0</v>
      </c>
      <c r="BO90" s="133">
        <f t="shared" si="218"/>
        <v>0</v>
      </c>
      <c r="BP90" s="133">
        <f t="shared" si="219"/>
        <v>0</v>
      </c>
      <c r="BR90" s="815"/>
    </row>
    <row r="91" spans="1:70" ht="15" customHeight="1" x14ac:dyDescent="0.25">
      <c r="A91" s="64"/>
      <c r="B91" s="60"/>
      <c r="C91" s="27"/>
      <c r="D91" s="27"/>
      <c r="E91" s="27"/>
      <c r="F91" s="27"/>
      <c r="G91" s="332"/>
      <c r="H91" s="333"/>
      <c r="I91" s="331">
        <v>85</v>
      </c>
      <c r="J91" s="4">
        <f t="shared" si="204"/>
        <v>0</v>
      </c>
      <c r="K91" s="27"/>
      <c r="L91" s="62"/>
      <c r="M91" s="62"/>
      <c r="N91" s="62"/>
      <c r="O91" s="62"/>
      <c r="P91" s="62"/>
      <c r="Q91" s="62"/>
      <c r="R91" s="62"/>
      <c r="S91" s="62"/>
      <c r="T91" s="67"/>
      <c r="U91" s="62"/>
      <c r="W91" s="32"/>
      <c r="X91" s="32"/>
      <c r="Y91" s="32"/>
      <c r="Z91" s="32"/>
      <c r="AA91" s="32"/>
      <c r="AB91" s="32"/>
      <c r="AC91" s="32"/>
      <c r="AD91" s="32"/>
      <c r="AE91" s="32"/>
      <c r="AF91" s="32"/>
      <c r="AH91" s="284">
        <f t="shared" si="210"/>
        <v>85</v>
      </c>
      <c r="AI91" s="90"/>
      <c r="AJ91" s="91"/>
      <c r="AK91" s="91"/>
      <c r="AL91" s="91"/>
      <c r="AM91" s="91"/>
      <c r="AN91" s="91"/>
      <c r="AO91" s="91"/>
      <c r="AP91" s="50"/>
      <c r="AQ91" s="770"/>
      <c r="AR91" s="4"/>
      <c r="AT91" s="4"/>
      <c r="AV91" s="131">
        <f t="shared" si="256"/>
        <v>0</v>
      </c>
      <c r="AW91" s="100">
        <f t="shared" si="257"/>
        <v>0</v>
      </c>
      <c r="AX91" s="100">
        <f t="shared" si="258"/>
        <v>0</v>
      </c>
      <c r="AY91" s="100">
        <f t="shared" si="259"/>
        <v>0</v>
      </c>
      <c r="AZ91" s="100">
        <f t="shared" si="260"/>
        <v>0</v>
      </c>
      <c r="BA91" s="100">
        <f t="shared" si="261"/>
        <v>0</v>
      </c>
      <c r="BB91" s="100">
        <f t="shared" si="262"/>
        <v>0</v>
      </c>
      <c r="BC91" s="100">
        <f t="shared" si="263"/>
        <v>0</v>
      </c>
      <c r="BE91" s="96">
        <f t="shared" si="220"/>
        <v>0</v>
      </c>
      <c r="BJ91" s="133"/>
      <c r="BK91" s="133"/>
      <c r="BL91" s="133"/>
      <c r="BM91" s="133"/>
      <c r="BN91" s="133"/>
      <c r="BO91" s="133"/>
      <c r="BP91" s="133"/>
      <c r="BR91" s="815"/>
    </row>
    <row r="92" spans="1:70" ht="15" customHeight="1" x14ac:dyDescent="0.25">
      <c r="A92" s="64"/>
      <c r="B92" s="120" t="s">
        <v>13</v>
      </c>
      <c r="C92" s="27"/>
      <c r="D92" s="27"/>
      <c r="E92" s="27"/>
      <c r="F92" s="27"/>
      <c r="G92" s="332"/>
      <c r="H92" s="333"/>
      <c r="I92" s="331">
        <v>86</v>
      </c>
      <c r="J92" s="4">
        <f t="shared" si="204"/>
        <v>0</v>
      </c>
      <c r="K92" s="27"/>
      <c r="L92" s="62"/>
      <c r="M92" s="62"/>
      <c r="N92" s="62"/>
      <c r="O92" s="62"/>
      <c r="P92" s="62"/>
      <c r="Q92" s="62"/>
      <c r="R92" s="62"/>
      <c r="S92" s="62"/>
      <c r="T92" s="67"/>
      <c r="U92" s="62"/>
      <c r="W92" s="32"/>
      <c r="X92" s="32"/>
      <c r="Y92" s="32"/>
      <c r="Z92" s="32"/>
      <c r="AA92" s="32"/>
      <c r="AB92" s="32"/>
      <c r="AC92" s="32"/>
      <c r="AD92" s="32"/>
      <c r="AE92" s="32"/>
      <c r="AF92" s="32"/>
      <c r="AH92" s="284">
        <f t="shared" si="210"/>
        <v>86</v>
      </c>
      <c r="AI92" s="90"/>
      <c r="AJ92" s="91"/>
      <c r="AK92" s="91"/>
      <c r="AL92" s="91"/>
      <c r="AM92" s="91"/>
      <c r="AN92" s="91"/>
      <c r="AO92" s="91"/>
      <c r="AP92" s="50"/>
      <c r="AQ92" s="770"/>
      <c r="AR92" s="4"/>
      <c r="AT92" s="4"/>
      <c r="AV92" s="131">
        <f t="shared" si="256"/>
        <v>0</v>
      </c>
      <c r="AW92" s="100">
        <f t="shared" si="257"/>
        <v>0</v>
      </c>
      <c r="AX92" s="100">
        <f t="shared" si="258"/>
        <v>0</v>
      </c>
      <c r="AY92" s="100">
        <f t="shared" si="259"/>
        <v>0</v>
      </c>
      <c r="AZ92" s="100">
        <f t="shared" si="260"/>
        <v>0</v>
      </c>
      <c r="BA92" s="100">
        <f t="shared" si="261"/>
        <v>0</v>
      </c>
      <c r="BB92" s="100">
        <f t="shared" si="262"/>
        <v>0</v>
      </c>
      <c r="BC92" s="100">
        <f t="shared" si="263"/>
        <v>0</v>
      </c>
      <c r="BE92" s="96">
        <f t="shared" si="220"/>
        <v>0</v>
      </c>
      <c r="BJ92" s="133"/>
      <c r="BK92" s="133"/>
      <c r="BL92" s="133"/>
      <c r="BM92" s="133"/>
      <c r="BN92" s="133"/>
      <c r="BO92" s="133"/>
      <c r="BP92" s="133"/>
      <c r="BR92" s="815"/>
    </row>
    <row r="93" spans="1:70" ht="30" customHeight="1" x14ac:dyDescent="0.25">
      <c r="A93" s="64">
        <v>1</v>
      </c>
      <c r="B93" s="60" t="s">
        <v>13</v>
      </c>
      <c r="C93" s="27" t="s">
        <v>14</v>
      </c>
      <c r="D93" s="27" t="s">
        <v>37</v>
      </c>
      <c r="E93" s="27" t="str">
        <f t="shared" si="31"/>
        <v>Parking_Implement a revised parking policy in SCC_SCC</v>
      </c>
      <c r="F93" s="27" t="str">
        <f t="shared" si="265"/>
        <v>Parking_SCC</v>
      </c>
      <c r="G93" s="37" t="s">
        <v>523</v>
      </c>
      <c r="H93" s="331" t="str">
        <f t="shared" si="208"/>
        <v>Parking_SCC_capex</v>
      </c>
      <c r="I93" s="331">
        <v>87</v>
      </c>
      <c r="J93" s="4">
        <f t="shared" si="204"/>
        <v>200000</v>
      </c>
      <c r="K93" s="27"/>
      <c r="L93" s="62"/>
      <c r="M93" s="62">
        <f>CALC_Current_option!C249</f>
        <v>200000</v>
      </c>
      <c r="N93" s="62"/>
      <c r="O93" s="62"/>
      <c r="P93" s="62"/>
      <c r="Q93" s="62"/>
      <c r="R93" s="62"/>
      <c r="S93" s="62">
        <f t="shared" ref="S93:S142" si="286">SUM(L93:R93)</f>
        <v>200000</v>
      </c>
      <c r="T93" s="67">
        <f t="shared" ref="T93:T109" si="287">SUMPRODUCT(L93:R93,$L$3:$R$3)</f>
        <v>193000</v>
      </c>
      <c r="U93" s="62"/>
      <c r="W93" s="14"/>
      <c r="X93" s="14"/>
      <c r="Y93" s="661">
        <v>0.5</v>
      </c>
      <c r="Z93" s="20"/>
      <c r="AA93" s="20"/>
      <c r="AB93" s="661">
        <v>0.5</v>
      </c>
      <c r="AC93" s="14"/>
      <c r="AD93" s="14"/>
      <c r="AE93" s="32"/>
      <c r="AF93" s="32"/>
      <c r="AH93" s="284">
        <f t="shared" si="210"/>
        <v>87</v>
      </c>
      <c r="AI93" s="90">
        <f t="shared" ref="AI93:AI109" si="288">$S93*W93</f>
        <v>0</v>
      </c>
      <c r="AJ93" s="91">
        <f t="shared" ref="AJ93:AJ109" si="289">$S93*X93</f>
        <v>0</v>
      </c>
      <c r="AK93" s="91">
        <f t="shared" ref="AK93:AK109" si="290">$S93*Y93</f>
        <v>100000</v>
      </c>
      <c r="AL93" s="91">
        <f t="shared" ref="AL93:AL109" si="291">$S93*Z93</f>
        <v>0</v>
      </c>
      <c r="AM93" s="91">
        <f t="shared" ref="AM93:AM109" si="292">$S93*AA93</f>
        <v>0</v>
      </c>
      <c r="AN93" s="91">
        <f t="shared" ref="AN93:AN109" si="293">$S93*AB93</f>
        <v>100000</v>
      </c>
      <c r="AO93" s="91">
        <f t="shared" ref="AO93:AO109" si="294">$S93*AC93</f>
        <v>0</v>
      </c>
      <c r="AP93" s="50">
        <f t="shared" ref="AP93:AP109" si="295">$S93*AD93</f>
        <v>0</v>
      </c>
      <c r="AQ93" s="770"/>
      <c r="AR93" s="4">
        <f t="shared" si="255"/>
        <v>200000</v>
      </c>
      <c r="AT93" s="4"/>
      <c r="AV93" s="131">
        <f t="shared" si="256"/>
        <v>0</v>
      </c>
      <c r="AW93" s="100">
        <f t="shared" si="257"/>
        <v>0</v>
      </c>
      <c r="AX93" s="100">
        <f t="shared" si="258"/>
        <v>96500</v>
      </c>
      <c r="AY93" s="100">
        <f t="shared" si="259"/>
        <v>0</v>
      </c>
      <c r="AZ93" s="100">
        <f t="shared" si="260"/>
        <v>0</v>
      </c>
      <c r="BA93" s="100">
        <f t="shared" si="261"/>
        <v>96500</v>
      </c>
      <c r="BB93" s="100">
        <f t="shared" si="262"/>
        <v>0</v>
      </c>
      <c r="BC93" s="100">
        <f t="shared" si="263"/>
        <v>0</v>
      </c>
      <c r="BE93" s="96">
        <f t="shared" si="220"/>
        <v>193000</v>
      </c>
      <c r="BG93" t="str">
        <f>E93</f>
        <v>Parking_Implement a revised parking policy in SCC_SCC</v>
      </c>
      <c r="BJ93" s="133">
        <f t="shared" si="213"/>
        <v>0</v>
      </c>
      <c r="BK93" s="133">
        <f t="shared" si="214"/>
        <v>0</v>
      </c>
      <c r="BL93" s="133">
        <f t="shared" si="215"/>
        <v>0</v>
      </c>
      <c r="BM93" s="133">
        <f t="shared" si="216"/>
        <v>0</v>
      </c>
      <c r="BN93" s="133">
        <f t="shared" si="217"/>
        <v>0</v>
      </c>
      <c r="BO93" s="133">
        <f t="shared" si="218"/>
        <v>0</v>
      </c>
      <c r="BP93" s="133">
        <f t="shared" si="219"/>
        <v>0</v>
      </c>
      <c r="BR93" s="815"/>
    </row>
    <row r="94" spans="1:70" ht="15" customHeight="1" x14ac:dyDescent="0.25">
      <c r="A94" s="64"/>
      <c r="B94" s="60"/>
      <c r="C94" s="27"/>
      <c r="D94" s="27"/>
      <c r="E94" s="27"/>
      <c r="F94" s="27"/>
      <c r="G94" s="23"/>
      <c r="H94" s="354"/>
      <c r="I94" s="331">
        <v>88</v>
      </c>
      <c r="J94" s="4">
        <f t="shared" si="204"/>
        <v>0</v>
      </c>
      <c r="K94" s="27"/>
      <c r="L94" s="62"/>
      <c r="M94" s="62"/>
      <c r="N94" s="62"/>
      <c r="O94" s="62"/>
      <c r="P94" s="62"/>
      <c r="Q94" s="62"/>
      <c r="R94" s="62"/>
      <c r="S94" s="62">
        <f t="shared" si="286"/>
        <v>0</v>
      </c>
      <c r="T94" s="67">
        <f t="shared" si="287"/>
        <v>0</v>
      </c>
      <c r="U94" s="62"/>
      <c r="W94" s="13"/>
      <c r="X94" s="14"/>
      <c r="Y94" s="14"/>
      <c r="Z94" s="14"/>
      <c r="AA94" s="14"/>
      <c r="AB94" s="14"/>
      <c r="AC94" s="14"/>
      <c r="AD94" s="15"/>
      <c r="AE94" s="32"/>
      <c r="AF94" s="32"/>
      <c r="AH94" s="284">
        <f t="shared" si="210"/>
        <v>88</v>
      </c>
      <c r="AI94" s="90">
        <f t="shared" si="288"/>
        <v>0</v>
      </c>
      <c r="AJ94" s="91">
        <f t="shared" si="289"/>
        <v>0</v>
      </c>
      <c r="AK94" s="91">
        <f t="shared" si="290"/>
        <v>0</v>
      </c>
      <c r="AL94" s="91">
        <f t="shared" si="291"/>
        <v>0</v>
      </c>
      <c r="AM94" s="91">
        <f t="shared" si="292"/>
        <v>0</v>
      </c>
      <c r="AN94" s="91">
        <f t="shared" si="293"/>
        <v>0</v>
      </c>
      <c r="AO94" s="91">
        <f t="shared" si="294"/>
        <v>0</v>
      </c>
      <c r="AP94" s="50">
        <f t="shared" si="295"/>
        <v>0</v>
      </c>
      <c r="AQ94" s="770"/>
      <c r="AR94" s="4">
        <f t="shared" si="255"/>
        <v>0</v>
      </c>
      <c r="AT94" s="4"/>
      <c r="AV94" s="131">
        <f t="shared" si="256"/>
        <v>0</v>
      </c>
      <c r="AW94" s="100">
        <f t="shared" si="257"/>
        <v>0</v>
      </c>
      <c r="AX94" s="100">
        <f t="shared" si="258"/>
        <v>0</v>
      </c>
      <c r="AY94" s="100">
        <f t="shared" si="259"/>
        <v>0</v>
      </c>
      <c r="AZ94" s="100">
        <f t="shared" si="260"/>
        <v>0</v>
      </c>
      <c r="BA94" s="100">
        <f t="shared" si="261"/>
        <v>0</v>
      </c>
      <c r="BB94" s="100">
        <f t="shared" si="262"/>
        <v>0</v>
      </c>
      <c r="BC94" s="100">
        <f t="shared" si="263"/>
        <v>0</v>
      </c>
      <c r="BE94" s="96">
        <f t="shared" si="220"/>
        <v>0</v>
      </c>
      <c r="BJ94" s="133"/>
      <c r="BK94" s="133"/>
      <c r="BL94" s="133"/>
      <c r="BM94" s="133"/>
      <c r="BN94" s="133"/>
      <c r="BO94" s="133"/>
      <c r="BP94" s="133"/>
      <c r="BR94" s="815"/>
    </row>
    <row r="95" spans="1:70" ht="15" customHeight="1" x14ac:dyDescent="0.25">
      <c r="A95" s="64"/>
      <c r="B95" s="120" t="s">
        <v>396</v>
      </c>
      <c r="C95" s="27"/>
      <c r="D95" s="27"/>
      <c r="E95" s="27"/>
      <c r="F95" s="27"/>
      <c r="G95" s="23"/>
      <c r="H95" s="354"/>
      <c r="I95" s="331">
        <v>89</v>
      </c>
      <c r="J95" s="4">
        <f t="shared" si="204"/>
        <v>0</v>
      </c>
      <c r="K95" s="27"/>
      <c r="L95" s="62"/>
      <c r="M95" s="62"/>
      <c r="N95" s="62"/>
      <c r="O95" s="62"/>
      <c r="P95" s="62"/>
      <c r="Q95" s="62"/>
      <c r="R95" s="62"/>
      <c r="S95" s="62">
        <f t="shared" si="286"/>
        <v>0</v>
      </c>
      <c r="T95" s="67">
        <f t="shared" si="287"/>
        <v>0</v>
      </c>
      <c r="U95" s="62"/>
      <c r="W95" s="13"/>
      <c r="X95" s="14"/>
      <c r="Y95" s="14"/>
      <c r="Z95" s="14"/>
      <c r="AA95" s="14"/>
      <c r="AB95" s="14"/>
      <c r="AC95" s="14"/>
      <c r="AD95" s="15"/>
      <c r="AE95" s="32"/>
      <c r="AF95" s="32"/>
      <c r="AH95" s="284">
        <f t="shared" si="210"/>
        <v>89</v>
      </c>
      <c r="AI95" s="90">
        <f t="shared" si="288"/>
        <v>0</v>
      </c>
      <c r="AJ95" s="91">
        <f t="shared" si="289"/>
        <v>0</v>
      </c>
      <c r="AK95" s="91">
        <f t="shared" si="290"/>
        <v>0</v>
      </c>
      <c r="AL95" s="91">
        <f t="shared" si="291"/>
        <v>0</v>
      </c>
      <c r="AM95" s="91">
        <f t="shared" si="292"/>
        <v>0</v>
      </c>
      <c r="AN95" s="91">
        <f t="shared" si="293"/>
        <v>0</v>
      </c>
      <c r="AO95" s="91">
        <f t="shared" si="294"/>
        <v>0</v>
      </c>
      <c r="AP95" s="50">
        <f t="shared" si="295"/>
        <v>0</v>
      </c>
      <c r="AQ95" s="770"/>
      <c r="AR95" s="4">
        <f t="shared" si="255"/>
        <v>0</v>
      </c>
      <c r="AT95" s="4"/>
      <c r="AV95" s="131">
        <f t="shared" si="256"/>
        <v>0</v>
      </c>
      <c r="AW95" s="100">
        <f t="shared" si="257"/>
        <v>0</v>
      </c>
      <c r="AX95" s="100">
        <f t="shared" si="258"/>
        <v>0</v>
      </c>
      <c r="AY95" s="100">
        <f t="shared" si="259"/>
        <v>0</v>
      </c>
      <c r="AZ95" s="100">
        <f t="shared" si="260"/>
        <v>0</v>
      </c>
      <c r="BA95" s="100">
        <f t="shared" si="261"/>
        <v>0</v>
      </c>
      <c r="BB95" s="100">
        <f t="shared" si="262"/>
        <v>0</v>
      </c>
      <c r="BC95" s="100">
        <f t="shared" si="263"/>
        <v>0</v>
      </c>
      <c r="BE95" s="96">
        <f t="shared" si="220"/>
        <v>0</v>
      </c>
      <c r="BJ95" s="133"/>
      <c r="BK95" s="133"/>
      <c r="BL95" s="133"/>
      <c r="BM95" s="133"/>
      <c r="BN95" s="133"/>
      <c r="BO95" s="133"/>
      <c r="BP95" s="133"/>
      <c r="BR95" s="815"/>
    </row>
    <row r="96" spans="1:70" ht="15" customHeight="1" x14ac:dyDescent="0.25">
      <c r="A96" s="64">
        <v>1</v>
      </c>
      <c r="B96" s="60" t="s">
        <v>395</v>
      </c>
      <c r="C96" s="124" t="s">
        <v>410</v>
      </c>
      <c r="D96" s="27" t="s">
        <v>37</v>
      </c>
      <c r="E96" s="27" t="str">
        <f t="shared" si="31"/>
        <v>Comms/H&amp;M_EMF_SCC</v>
      </c>
      <c r="F96" s="27" t="str">
        <f t="shared" si="265"/>
        <v>Comms/H&amp;M_SCC</v>
      </c>
      <c r="G96" s="37" t="s">
        <v>523</v>
      </c>
      <c r="H96" s="331" t="str">
        <f t="shared" si="208"/>
        <v>Comms/H&amp;M_SCC_capex</v>
      </c>
      <c r="I96" s="331">
        <v>90</v>
      </c>
      <c r="J96" s="4">
        <f t="shared" ref="J96:J127" si="296">SUM(AI96:AP96)-AO96-AP96</f>
        <v>40000</v>
      </c>
      <c r="K96" s="27"/>
      <c r="L96" s="62">
        <f>CALC_Current_option!C253</f>
        <v>40000</v>
      </c>
      <c r="M96" s="62"/>
      <c r="N96" s="62"/>
      <c r="O96" s="62"/>
      <c r="P96" s="62"/>
      <c r="Q96" s="62"/>
      <c r="R96" s="62"/>
      <c r="S96" s="62">
        <f t="shared" si="286"/>
        <v>40000</v>
      </c>
      <c r="T96" s="67">
        <f t="shared" si="287"/>
        <v>40000</v>
      </c>
      <c r="U96" s="62"/>
      <c r="W96" s="656">
        <v>1</v>
      </c>
      <c r="X96" s="14">
        <v>0</v>
      </c>
      <c r="Y96" s="14"/>
      <c r="Z96" s="14"/>
      <c r="AA96" s="14"/>
      <c r="AB96" s="14"/>
      <c r="AC96" s="14"/>
      <c r="AD96" s="15"/>
      <c r="AE96" s="32"/>
      <c r="AF96" s="32"/>
      <c r="AH96" s="284">
        <f t="shared" si="210"/>
        <v>90</v>
      </c>
      <c r="AI96" s="90">
        <f t="shared" si="288"/>
        <v>40000</v>
      </c>
      <c r="AJ96" s="91">
        <f t="shared" si="289"/>
        <v>0</v>
      </c>
      <c r="AK96" s="91">
        <f t="shared" si="290"/>
        <v>0</v>
      </c>
      <c r="AL96" s="91">
        <f t="shared" si="291"/>
        <v>0</v>
      </c>
      <c r="AM96" s="91">
        <f t="shared" si="292"/>
        <v>0</v>
      </c>
      <c r="AN96" s="91">
        <f t="shared" si="293"/>
        <v>0</v>
      </c>
      <c r="AO96" s="91">
        <f t="shared" si="294"/>
        <v>0</v>
      </c>
      <c r="AP96" s="50">
        <f t="shared" si="295"/>
        <v>0</v>
      </c>
      <c r="AQ96" s="770"/>
      <c r="AR96" s="4">
        <f t="shared" si="255"/>
        <v>40000</v>
      </c>
      <c r="AT96" s="4"/>
      <c r="AV96" s="131">
        <f t="shared" si="256"/>
        <v>40000</v>
      </c>
      <c r="AW96" s="100">
        <f t="shared" si="257"/>
        <v>0</v>
      </c>
      <c r="AX96" s="100">
        <f t="shared" si="258"/>
        <v>0</v>
      </c>
      <c r="AY96" s="100">
        <f t="shared" si="259"/>
        <v>0</v>
      </c>
      <c r="AZ96" s="100">
        <f t="shared" si="260"/>
        <v>0</v>
      </c>
      <c r="BA96" s="100">
        <f t="shared" si="261"/>
        <v>0</v>
      </c>
      <c r="BB96" s="100">
        <f t="shared" si="262"/>
        <v>0</v>
      </c>
      <c r="BC96" s="100">
        <f t="shared" si="263"/>
        <v>0</v>
      </c>
      <c r="BE96" s="96">
        <f t="shared" si="220"/>
        <v>40000</v>
      </c>
      <c r="BG96" t="str">
        <f t="shared" ref="BG96:BG127" si="297">E96</f>
        <v>Comms/H&amp;M_EMF_SCC</v>
      </c>
      <c r="BJ96" s="133">
        <f t="shared" si="213"/>
        <v>0</v>
      </c>
      <c r="BK96" s="133">
        <f t="shared" si="214"/>
        <v>0</v>
      </c>
      <c r="BL96" s="133">
        <f t="shared" si="215"/>
        <v>0</v>
      </c>
      <c r="BM96" s="133">
        <f t="shared" si="216"/>
        <v>0</v>
      </c>
      <c r="BN96" s="133">
        <f t="shared" si="217"/>
        <v>0</v>
      </c>
      <c r="BO96" s="133">
        <f t="shared" si="218"/>
        <v>0</v>
      </c>
      <c r="BP96" s="133">
        <f t="shared" si="219"/>
        <v>0</v>
      </c>
      <c r="BR96" s="815"/>
    </row>
    <row r="97" spans="1:70" ht="15" customHeight="1" x14ac:dyDescent="0.25">
      <c r="A97" s="64">
        <v>2</v>
      </c>
      <c r="B97" s="60" t="s">
        <v>395</v>
      </c>
      <c r="C97" s="124" t="s">
        <v>410</v>
      </c>
      <c r="D97" s="27" t="s">
        <v>38</v>
      </c>
      <c r="E97" s="27" t="str">
        <f t="shared" si="31"/>
        <v>Comms/H&amp;M_EMF_RMBC</v>
      </c>
      <c r="F97" s="27" t="str">
        <f t="shared" si="265"/>
        <v>Comms/H&amp;M_RMBC</v>
      </c>
      <c r="G97" s="37" t="s">
        <v>523</v>
      </c>
      <c r="H97" s="331" t="str">
        <f t="shared" si="208"/>
        <v>Comms/H&amp;M_RMBC_capex</v>
      </c>
      <c r="I97" s="331">
        <v>91</v>
      </c>
      <c r="J97" s="4">
        <f t="shared" si="296"/>
        <v>40000</v>
      </c>
      <c r="K97" s="27"/>
      <c r="L97" s="62">
        <f>CALC_Current_option!C254</f>
        <v>40000</v>
      </c>
      <c r="M97" s="62"/>
      <c r="N97" s="62"/>
      <c r="O97" s="62"/>
      <c r="P97" s="62"/>
      <c r="Q97" s="62"/>
      <c r="R97" s="62"/>
      <c r="S97" s="62">
        <f t="shared" si="286"/>
        <v>40000</v>
      </c>
      <c r="T97" s="67">
        <f t="shared" si="287"/>
        <v>40000</v>
      </c>
      <c r="U97" s="62"/>
      <c r="W97" s="656">
        <v>1</v>
      </c>
      <c r="X97" s="14">
        <v>0</v>
      </c>
      <c r="Y97" s="14"/>
      <c r="Z97" s="14"/>
      <c r="AA97" s="14"/>
      <c r="AB97" s="14"/>
      <c r="AC97" s="14"/>
      <c r="AD97" s="15"/>
      <c r="AE97" s="32"/>
      <c r="AF97" s="32"/>
      <c r="AH97" s="284">
        <f t="shared" si="210"/>
        <v>91</v>
      </c>
      <c r="AI97" s="90">
        <f t="shared" si="288"/>
        <v>40000</v>
      </c>
      <c r="AJ97" s="91">
        <f t="shared" si="289"/>
        <v>0</v>
      </c>
      <c r="AK97" s="91">
        <f t="shared" si="290"/>
        <v>0</v>
      </c>
      <c r="AL97" s="91">
        <f t="shared" si="291"/>
        <v>0</v>
      </c>
      <c r="AM97" s="91">
        <f t="shared" si="292"/>
        <v>0</v>
      </c>
      <c r="AN97" s="91">
        <f t="shared" si="293"/>
        <v>0</v>
      </c>
      <c r="AO97" s="91">
        <f t="shared" si="294"/>
        <v>0</v>
      </c>
      <c r="AP97" s="50">
        <f t="shared" si="295"/>
        <v>0</v>
      </c>
      <c r="AQ97" s="770"/>
      <c r="AR97" s="4">
        <f t="shared" si="255"/>
        <v>40000</v>
      </c>
      <c r="AT97" s="4"/>
      <c r="AV97" s="131">
        <f t="shared" si="256"/>
        <v>40000</v>
      </c>
      <c r="AW97" s="100">
        <f t="shared" si="257"/>
        <v>0</v>
      </c>
      <c r="AX97" s="100">
        <f t="shared" si="258"/>
        <v>0</v>
      </c>
      <c r="AY97" s="100">
        <f t="shared" si="259"/>
        <v>0</v>
      </c>
      <c r="AZ97" s="100">
        <f t="shared" si="260"/>
        <v>0</v>
      </c>
      <c r="BA97" s="100">
        <f t="shared" si="261"/>
        <v>0</v>
      </c>
      <c r="BB97" s="100">
        <f t="shared" si="262"/>
        <v>0</v>
      </c>
      <c r="BC97" s="100">
        <f t="shared" si="263"/>
        <v>0</v>
      </c>
      <c r="BE97" s="96">
        <f t="shared" si="220"/>
        <v>40000</v>
      </c>
      <c r="BG97" t="str">
        <f t="shared" si="297"/>
        <v>Comms/H&amp;M_EMF_RMBC</v>
      </c>
      <c r="BJ97" s="133">
        <f t="shared" si="213"/>
        <v>0</v>
      </c>
      <c r="BK97" s="133">
        <f t="shared" si="214"/>
        <v>0</v>
      </c>
      <c r="BL97" s="133">
        <f t="shared" si="215"/>
        <v>0</v>
      </c>
      <c r="BM97" s="133">
        <f t="shared" si="216"/>
        <v>0</v>
      </c>
      <c r="BN97" s="133">
        <f t="shared" si="217"/>
        <v>0</v>
      </c>
      <c r="BO97" s="133">
        <f t="shared" si="218"/>
        <v>0</v>
      </c>
      <c r="BP97" s="133">
        <f t="shared" si="219"/>
        <v>0</v>
      </c>
      <c r="BR97" s="815"/>
    </row>
    <row r="98" spans="1:70" ht="30" customHeight="1" x14ac:dyDescent="0.25">
      <c r="A98" s="64">
        <v>3</v>
      </c>
      <c r="B98" s="60" t="s">
        <v>395</v>
      </c>
      <c r="C98" s="27" t="s">
        <v>511</v>
      </c>
      <c r="D98" s="27" t="s">
        <v>37</v>
      </c>
      <c r="E98" s="27" t="str">
        <f t="shared" ref="E98:E99" si="298">CONCATENATE(B98,"_",C98,"_",D98)</f>
        <v>Comms/H&amp;M_H&amp;M Campaigns - 2019_SCC</v>
      </c>
      <c r="F98" s="27" t="str">
        <f t="shared" si="265"/>
        <v>Comms/H&amp;M_SCC</v>
      </c>
      <c r="G98" s="37" t="s">
        <v>523</v>
      </c>
      <c r="H98" s="331" t="str">
        <f t="shared" si="208"/>
        <v>Comms/H&amp;M_SCC_capex</v>
      </c>
      <c r="I98" s="331">
        <v>92</v>
      </c>
      <c r="J98" s="4">
        <f t="shared" si="296"/>
        <v>264000</v>
      </c>
      <c r="K98" s="27"/>
      <c r="L98" s="30">
        <f>CALC_Current_option!C256</f>
        <v>264000</v>
      </c>
      <c r="M98" s="62"/>
      <c r="N98" s="62"/>
      <c r="O98" s="62"/>
      <c r="P98" s="62"/>
      <c r="Q98" s="62"/>
      <c r="R98" s="62"/>
      <c r="S98" s="62">
        <f t="shared" ref="S98:S99" si="299">SUM(L98:R98)</f>
        <v>264000</v>
      </c>
      <c r="T98" s="67">
        <f t="shared" ref="T98:T99" si="300">SUMPRODUCT(L98:R98,$L$3:$R$3)</f>
        <v>264000</v>
      </c>
      <c r="U98" s="62"/>
      <c r="W98" s="13"/>
      <c r="X98" s="14"/>
      <c r="Y98" s="653">
        <v>1</v>
      </c>
      <c r="Z98" s="14"/>
      <c r="AA98" s="14"/>
      <c r="AB98" s="14"/>
      <c r="AC98" s="14"/>
      <c r="AD98" s="15"/>
      <c r="AE98" s="32"/>
      <c r="AF98" s="32"/>
      <c r="AH98" s="284">
        <f t="shared" si="210"/>
        <v>92</v>
      </c>
      <c r="AI98" s="90">
        <f t="shared" ref="AI98:AI99" si="301">$S98*W98</f>
        <v>0</v>
      </c>
      <c r="AJ98" s="91">
        <f t="shared" ref="AJ98:AJ99" si="302">$S98*X98</f>
        <v>0</v>
      </c>
      <c r="AK98" s="91">
        <f t="shared" ref="AK98:AK99" si="303">$S98*Y98</f>
        <v>264000</v>
      </c>
      <c r="AL98" s="91">
        <f t="shared" ref="AL98:AL99" si="304">$S98*Z98</f>
        <v>0</v>
      </c>
      <c r="AM98" s="91">
        <f t="shared" ref="AM98:AM99" si="305">$S98*AA98</f>
        <v>0</v>
      </c>
      <c r="AN98" s="91">
        <f t="shared" ref="AN98:AN99" si="306">$S98*AB98</f>
        <v>0</v>
      </c>
      <c r="AO98" s="91">
        <f t="shared" ref="AO98:AO99" si="307">$S98*AC98</f>
        <v>0</v>
      </c>
      <c r="AP98" s="50">
        <f t="shared" ref="AP98:AP99" si="308">$S98*AD98</f>
        <v>0</v>
      </c>
      <c r="AQ98" s="770"/>
      <c r="AR98" s="4">
        <f t="shared" ref="AR98:AR99" si="309">SUM(AI98:AP98)</f>
        <v>264000</v>
      </c>
      <c r="AT98" s="4"/>
      <c r="AV98" s="131">
        <f t="shared" ref="AV98:AV99" si="310">$T98*W98</f>
        <v>0</v>
      </c>
      <c r="AW98" s="100">
        <f t="shared" ref="AW98:AW99" si="311">$T98*X98</f>
        <v>0</v>
      </c>
      <c r="AX98" s="100">
        <f t="shared" ref="AX98:AX99" si="312">$T98*Y98</f>
        <v>264000</v>
      </c>
      <c r="AY98" s="100">
        <f t="shared" ref="AY98:AY99" si="313">$T98*Z98</f>
        <v>0</v>
      </c>
      <c r="AZ98" s="100">
        <f t="shared" ref="AZ98:AZ99" si="314">$T98*AA98</f>
        <v>0</v>
      </c>
      <c r="BA98" s="100">
        <f t="shared" ref="BA98:BA99" si="315">$T98*AB98</f>
        <v>0</v>
      </c>
      <c r="BB98" s="100">
        <f t="shared" ref="BB98:BB99" si="316">$T98*AC98</f>
        <v>0</v>
      </c>
      <c r="BC98" s="100">
        <f t="shared" ref="BC98:BC99" si="317">$T98*AD98</f>
        <v>0</v>
      </c>
      <c r="BE98" s="96">
        <f t="shared" ref="BE98:BE99" si="318">SUM(AV98:BC98)</f>
        <v>264000</v>
      </c>
      <c r="BG98" t="str">
        <f t="shared" si="297"/>
        <v>Comms/H&amp;M_H&amp;M Campaigns - 2019_SCC</v>
      </c>
      <c r="BJ98" s="133">
        <f t="shared" si="213"/>
        <v>0</v>
      </c>
      <c r="BK98" s="133">
        <f t="shared" si="214"/>
        <v>0</v>
      </c>
      <c r="BL98" s="133">
        <f t="shared" si="215"/>
        <v>0</v>
      </c>
      <c r="BM98" s="133">
        <f t="shared" si="216"/>
        <v>0</v>
      </c>
      <c r="BN98" s="133">
        <f t="shared" si="217"/>
        <v>0</v>
      </c>
      <c r="BO98" s="133">
        <f t="shared" si="218"/>
        <v>0</v>
      </c>
      <c r="BP98" s="133">
        <f t="shared" si="219"/>
        <v>0</v>
      </c>
      <c r="BR98" s="815"/>
    </row>
    <row r="99" spans="1:70" ht="30" customHeight="1" x14ac:dyDescent="0.25">
      <c r="A99" s="64">
        <v>3</v>
      </c>
      <c r="B99" s="60" t="s">
        <v>395</v>
      </c>
      <c r="C99" s="27" t="s">
        <v>511</v>
      </c>
      <c r="D99" s="27" t="s">
        <v>38</v>
      </c>
      <c r="E99" s="27" t="str">
        <f t="shared" si="298"/>
        <v>Comms/H&amp;M_H&amp;M Campaigns - 2019_RMBC</v>
      </c>
      <c r="F99" s="27" t="str">
        <f t="shared" si="265"/>
        <v>Comms/H&amp;M_RMBC</v>
      </c>
      <c r="G99" s="37" t="s">
        <v>523</v>
      </c>
      <c r="H99" s="331" t="str">
        <f t="shared" si="208"/>
        <v>Comms/H&amp;M_RMBC_capex</v>
      </c>
      <c r="I99" s="331">
        <v>93</v>
      </c>
      <c r="J99" s="4">
        <f t="shared" si="296"/>
        <v>0</v>
      </c>
      <c r="K99" s="27"/>
      <c r="L99" s="30">
        <f>CALC_Current_option!C257</f>
        <v>0</v>
      </c>
      <c r="M99" s="62"/>
      <c r="N99" s="62"/>
      <c r="O99" s="62"/>
      <c r="P99" s="62"/>
      <c r="Q99" s="62"/>
      <c r="R99" s="62"/>
      <c r="S99" s="62">
        <f t="shared" si="299"/>
        <v>0</v>
      </c>
      <c r="T99" s="67">
        <f t="shared" si="300"/>
        <v>0</v>
      </c>
      <c r="U99" s="62"/>
      <c r="W99" s="13"/>
      <c r="X99" s="14"/>
      <c r="Y99" s="653">
        <v>1</v>
      </c>
      <c r="Z99" s="14"/>
      <c r="AA99" s="14"/>
      <c r="AB99" s="14"/>
      <c r="AC99" s="14"/>
      <c r="AD99" s="15"/>
      <c r="AE99" s="32"/>
      <c r="AF99" s="32"/>
      <c r="AH99" s="284">
        <f t="shared" si="210"/>
        <v>93</v>
      </c>
      <c r="AI99" s="90">
        <f t="shared" si="301"/>
        <v>0</v>
      </c>
      <c r="AJ99" s="91">
        <f t="shared" si="302"/>
        <v>0</v>
      </c>
      <c r="AK99" s="91">
        <f t="shared" si="303"/>
        <v>0</v>
      </c>
      <c r="AL99" s="91">
        <f t="shared" si="304"/>
        <v>0</v>
      </c>
      <c r="AM99" s="91">
        <f t="shared" si="305"/>
        <v>0</v>
      </c>
      <c r="AN99" s="91">
        <f t="shared" si="306"/>
        <v>0</v>
      </c>
      <c r="AO99" s="91">
        <f t="shared" si="307"/>
        <v>0</v>
      </c>
      <c r="AP99" s="50">
        <f t="shared" si="308"/>
        <v>0</v>
      </c>
      <c r="AQ99" s="770"/>
      <c r="AR99" s="4">
        <f t="shared" si="309"/>
        <v>0</v>
      </c>
      <c r="AT99" s="4"/>
      <c r="AV99" s="131">
        <f t="shared" si="310"/>
        <v>0</v>
      </c>
      <c r="AW99" s="100">
        <f t="shared" si="311"/>
        <v>0</v>
      </c>
      <c r="AX99" s="100">
        <f t="shared" si="312"/>
        <v>0</v>
      </c>
      <c r="AY99" s="100">
        <f t="shared" si="313"/>
        <v>0</v>
      </c>
      <c r="AZ99" s="100">
        <f t="shared" si="314"/>
        <v>0</v>
      </c>
      <c r="BA99" s="100">
        <f t="shared" si="315"/>
        <v>0</v>
      </c>
      <c r="BB99" s="100">
        <f t="shared" si="316"/>
        <v>0</v>
      </c>
      <c r="BC99" s="100">
        <f t="shared" si="317"/>
        <v>0</v>
      </c>
      <c r="BE99" s="96">
        <f t="shared" si="318"/>
        <v>0</v>
      </c>
      <c r="BG99" t="str">
        <f t="shared" si="297"/>
        <v>Comms/H&amp;M_H&amp;M Campaigns - 2019_RMBC</v>
      </c>
      <c r="BJ99" s="133">
        <f t="shared" si="213"/>
        <v>0</v>
      </c>
      <c r="BK99" s="133">
        <f t="shared" si="214"/>
        <v>0</v>
      </c>
      <c r="BL99" s="133">
        <f t="shared" si="215"/>
        <v>0</v>
      </c>
      <c r="BM99" s="133">
        <f t="shared" si="216"/>
        <v>0</v>
      </c>
      <c r="BN99" s="133">
        <f t="shared" si="217"/>
        <v>0</v>
      </c>
      <c r="BO99" s="133">
        <f t="shared" si="218"/>
        <v>0</v>
      </c>
      <c r="BP99" s="133">
        <f t="shared" si="219"/>
        <v>0</v>
      </c>
      <c r="BR99" s="815"/>
    </row>
    <row r="100" spans="1:70" ht="30" customHeight="1" x14ac:dyDescent="0.25">
      <c r="A100" s="64">
        <v>3</v>
      </c>
      <c r="B100" s="60" t="s">
        <v>395</v>
      </c>
      <c r="C100" s="27" t="s">
        <v>411</v>
      </c>
      <c r="D100" s="27" t="s">
        <v>37</v>
      </c>
      <c r="E100" s="27" t="str">
        <f t="shared" si="31"/>
        <v>Comms/H&amp;M_H&amp;M Campaigns - 2020_SCC</v>
      </c>
      <c r="F100" s="27" t="str">
        <f t="shared" si="265"/>
        <v>Comms/H&amp;M_SCC</v>
      </c>
      <c r="G100" s="37" t="s">
        <v>523</v>
      </c>
      <c r="H100" s="331" t="str">
        <f t="shared" si="208"/>
        <v>Comms/H&amp;M_SCC_capex</v>
      </c>
      <c r="I100" s="331">
        <v>94</v>
      </c>
      <c r="J100" s="4">
        <f t="shared" si="296"/>
        <v>528000</v>
      </c>
      <c r="K100" s="27"/>
      <c r="L100" s="30"/>
      <c r="M100" s="30">
        <f>CALC_Current_option!C258</f>
        <v>528000</v>
      </c>
      <c r="N100" s="62"/>
      <c r="O100" s="62"/>
      <c r="P100" s="62"/>
      <c r="Q100" s="62"/>
      <c r="R100" s="62"/>
      <c r="S100" s="62">
        <f t="shared" si="286"/>
        <v>528000</v>
      </c>
      <c r="T100" s="67">
        <f t="shared" si="287"/>
        <v>509520</v>
      </c>
      <c r="U100" s="62"/>
      <c r="W100" s="13"/>
      <c r="X100" s="14"/>
      <c r="Y100" s="653">
        <v>1</v>
      </c>
      <c r="Z100" s="14"/>
      <c r="AA100" s="14"/>
      <c r="AB100" s="14"/>
      <c r="AC100" s="14"/>
      <c r="AD100" s="15"/>
      <c r="AE100" s="32"/>
      <c r="AF100" s="32"/>
      <c r="AH100" s="284">
        <f t="shared" si="210"/>
        <v>94</v>
      </c>
      <c r="AI100" s="90">
        <f t="shared" si="288"/>
        <v>0</v>
      </c>
      <c r="AJ100" s="91">
        <f t="shared" si="289"/>
        <v>0</v>
      </c>
      <c r="AK100" s="91">
        <f t="shared" si="290"/>
        <v>528000</v>
      </c>
      <c r="AL100" s="91">
        <f t="shared" si="291"/>
        <v>0</v>
      </c>
      <c r="AM100" s="91">
        <f t="shared" si="292"/>
        <v>0</v>
      </c>
      <c r="AN100" s="91">
        <f t="shared" si="293"/>
        <v>0</v>
      </c>
      <c r="AO100" s="91">
        <f t="shared" si="294"/>
        <v>0</v>
      </c>
      <c r="AP100" s="50">
        <f t="shared" si="295"/>
        <v>0</v>
      </c>
      <c r="AQ100" s="770"/>
      <c r="AR100" s="4">
        <f t="shared" si="255"/>
        <v>528000</v>
      </c>
      <c r="AT100" s="4"/>
      <c r="AV100" s="131">
        <f t="shared" si="256"/>
        <v>0</v>
      </c>
      <c r="AW100" s="100">
        <f t="shared" si="257"/>
        <v>0</v>
      </c>
      <c r="AX100" s="100">
        <f t="shared" si="258"/>
        <v>509520</v>
      </c>
      <c r="AY100" s="100">
        <f t="shared" si="259"/>
        <v>0</v>
      </c>
      <c r="AZ100" s="100">
        <f t="shared" si="260"/>
        <v>0</v>
      </c>
      <c r="BA100" s="100">
        <f t="shared" si="261"/>
        <v>0</v>
      </c>
      <c r="BB100" s="100">
        <f t="shared" si="262"/>
        <v>0</v>
      </c>
      <c r="BC100" s="100">
        <f t="shared" si="263"/>
        <v>0</v>
      </c>
      <c r="BE100" s="96">
        <f t="shared" si="220"/>
        <v>509520</v>
      </c>
      <c r="BG100" t="str">
        <f t="shared" si="297"/>
        <v>Comms/H&amp;M_H&amp;M Campaigns - 2020_SCC</v>
      </c>
      <c r="BJ100" s="133">
        <f t="shared" si="213"/>
        <v>0</v>
      </c>
      <c r="BK100" s="133">
        <f t="shared" si="214"/>
        <v>0</v>
      </c>
      <c r="BL100" s="133">
        <f t="shared" si="215"/>
        <v>0</v>
      </c>
      <c r="BM100" s="133">
        <f t="shared" si="216"/>
        <v>0</v>
      </c>
      <c r="BN100" s="133">
        <f t="shared" si="217"/>
        <v>0</v>
      </c>
      <c r="BO100" s="133">
        <f t="shared" si="218"/>
        <v>0</v>
      </c>
      <c r="BP100" s="133">
        <f t="shared" si="219"/>
        <v>0</v>
      </c>
      <c r="BR100" s="815"/>
    </row>
    <row r="101" spans="1:70" ht="30" customHeight="1" x14ac:dyDescent="0.25">
      <c r="A101" s="64">
        <v>4</v>
      </c>
      <c r="B101" s="60" t="s">
        <v>395</v>
      </c>
      <c r="C101" s="27" t="s">
        <v>412</v>
      </c>
      <c r="D101" s="27" t="s">
        <v>38</v>
      </c>
      <c r="E101" s="27" t="str">
        <f t="shared" si="31"/>
        <v>Comms/H&amp;M_H&amp;M Campaigns - 2020 _RMBC</v>
      </c>
      <c r="F101" s="27" t="str">
        <f t="shared" si="265"/>
        <v>Comms/H&amp;M_RMBC</v>
      </c>
      <c r="G101" s="37" t="s">
        <v>523</v>
      </c>
      <c r="H101" s="331" t="str">
        <f t="shared" si="208"/>
        <v>Comms/H&amp;M_RMBC_capex</v>
      </c>
      <c r="I101" s="331">
        <v>95</v>
      </c>
      <c r="J101" s="4">
        <f t="shared" si="296"/>
        <v>0</v>
      </c>
      <c r="K101" s="27"/>
      <c r="L101" s="30"/>
      <c r="M101" s="30">
        <f>CALC_Current_option!C259</f>
        <v>0</v>
      </c>
      <c r="N101" s="62"/>
      <c r="O101" s="62"/>
      <c r="P101" s="62"/>
      <c r="Q101" s="62"/>
      <c r="R101" s="62"/>
      <c r="S101" s="62">
        <f t="shared" si="286"/>
        <v>0</v>
      </c>
      <c r="T101" s="67">
        <f t="shared" si="287"/>
        <v>0</v>
      </c>
      <c r="U101" s="62"/>
      <c r="W101" s="13"/>
      <c r="X101" s="14"/>
      <c r="Y101" s="653">
        <v>1</v>
      </c>
      <c r="Z101" s="14"/>
      <c r="AA101" s="14"/>
      <c r="AB101" s="14"/>
      <c r="AC101" s="14"/>
      <c r="AD101" s="15"/>
      <c r="AE101" s="32"/>
      <c r="AF101" s="32"/>
      <c r="AH101" s="284">
        <f t="shared" si="210"/>
        <v>95</v>
      </c>
      <c r="AI101" s="90">
        <f t="shared" si="288"/>
        <v>0</v>
      </c>
      <c r="AJ101" s="91">
        <f t="shared" si="289"/>
        <v>0</v>
      </c>
      <c r="AK101" s="91">
        <f t="shared" si="290"/>
        <v>0</v>
      </c>
      <c r="AL101" s="91">
        <f t="shared" si="291"/>
        <v>0</v>
      </c>
      <c r="AM101" s="91">
        <f t="shared" si="292"/>
        <v>0</v>
      </c>
      <c r="AN101" s="91">
        <f t="shared" si="293"/>
        <v>0</v>
      </c>
      <c r="AO101" s="91">
        <f t="shared" si="294"/>
        <v>0</v>
      </c>
      <c r="AP101" s="50">
        <f t="shared" si="295"/>
        <v>0</v>
      </c>
      <c r="AQ101" s="770"/>
      <c r="AR101" s="4">
        <f t="shared" si="255"/>
        <v>0</v>
      </c>
      <c r="AT101" s="4"/>
      <c r="AV101" s="131">
        <f t="shared" si="256"/>
        <v>0</v>
      </c>
      <c r="AW101" s="100">
        <f t="shared" si="257"/>
        <v>0</v>
      </c>
      <c r="AX101" s="100">
        <f t="shared" si="258"/>
        <v>0</v>
      </c>
      <c r="AY101" s="100">
        <f t="shared" si="259"/>
        <v>0</v>
      </c>
      <c r="AZ101" s="100">
        <f t="shared" si="260"/>
        <v>0</v>
      </c>
      <c r="BA101" s="100">
        <f t="shared" si="261"/>
        <v>0</v>
      </c>
      <c r="BB101" s="100">
        <f t="shared" si="262"/>
        <v>0</v>
      </c>
      <c r="BC101" s="100">
        <f t="shared" si="263"/>
        <v>0</v>
      </c>
      <c r="BE101" s="96">
        <f t="shared" si="220"/>
        <v>0</v>
      </c>
      <c r="BG101" t="str">
        <f t="shared" si="297"/>
        <v>Comms/H&amp;M_H&amp;M Campaigns - 2020 _RMBC</v>
      </c>
      <c r="BJ101" s="133">
        <f t="shared" si="213"/>
        <v>0</v>
      </c>
      <c r="BK101" s="133">
        <f t="shared" si="214"/>
        <v>0</v>
      </c>
      <c r="BL101" s="133">
        <f t="shared" si="215"/>
        <v>0</v>
      </c>
      <c r="BM101" s="133">
        <f t="shared" si="216"/>
        <v>0</v>
      </c>
      <c r="BN101" s="133">
        <f t="shared" si="217"/>
        <v>0</v>
      </c>
      <c r="BO101" s="133">
        <f t="shared" si="218"/>
        <v>0</v>
      </c>
      <c r="BP101" s="133">
        <f t="shared" si="219"/>
        <v>0</v>
      </c>
      <c r="BR101" s="815"/>
    </row>
    <row r="102" spans="1:70" ht="30" customHeight="1" x14ac:dyDescent="0.25">
      <c r="A102" s="64">
        <v>5</v>
      </c>
      <c r="B102" s="60" t="s">
        <v>395</v>
      </c>
      <c r="C102" s="27" t="s">
        <v>415</v>
      </c>
      <c r="D102" s="27" t="s">
        <v>37</v>
      </c>
      <c r="E102" s="27" t="str">
        <f t="shared" si="31"/>
        <v>Comms/H&amp;M_H&amp;M Campaigns -2021_SCC</v>
      </c>
      <c r="F102" s="27" t="str">
        <f t="shared" si="265"/>
        <v>Comms/H&amp;M_SCC</v>
      </c>
      <c r="G102" s="37" t="s">
        <v>523</v>
      </c>
      <c r="H102" s="331" t="str">
        <f t="shared" si="208"/>
        <v>Comms/H&amp;M_SCC_capex</v>
      </c>
      <c r="I102" s="331">
        <v>96</v>
      </c>
      <c r="J102" s="4">
        <f t="shared" si="296"/>
        <v>264000</v>
      </c>
      <c r="K102" s="27"/>
      <c r="L102" s="30"/>
      <c r="M102" s="62"/>
      <c r="N102" s="62">
        <f>CALC_Current_option!$C$260</f>
        <v>264000</v>
      </c>
      <c r="O102" s="30"/>
      <c r="P102" s="62"/>
      <c r="Q102" s="62"/>
      <c r="R102" s="62"/>
      <c r="S102" s="62">
        <f t="shared" si="286"/>
        <v>264000</v>
      </c>
      <c r="T102" s="67">
        <f t="shared" si="287"/>
        <v>245843.4</v>
      </c>
      <c r="U102" s="62"/>
      <c r="W102" s="13"/>
      <c r="X102" s="14"/>
      <c r="Y102" s="653">
        <v>1</v>
      </c>
      <c r="Z102" s="14"/>
      <c r="AA102" s="14"/>
      <c r="AB102" s="14"/>
      <c r="AC102" s="14"/>
      <c r="AD102" s="15"/>
      <c r="AE102" s="32"/>
      <c r="AF102" s="32"/>
      <c r="AH102" s="284">
        <f t="shared" si="210"/>
        <v>96</v>
      </c>
      <c r="AI102" s="90">
        <f t="shared" si="288"/>
        <v>0</v>
      </c>
      <c r="AJ102" s="91">
        <f t="shared" si="289"/>
        <v>0</v>
      </c>
      <c r="AK102" s="91">
        <f t="shared" si="290"/>
        <v>264000</v>
      </c>
      <c r="AL102" s="91">
        <f t="shared" si="291"/>
        <v>0</v>
      </c>
      <c r="AM102" s="91">
        <f t="shared" si="292"/>
        <v>0</v>
      </c>
      <c r="AN102" s="91">
        <f t="shared" si="293"/>
        <v>0</v>
      </c>
      <c r="AO102" s="91">
        <f t="shared" si="294"/>
        <v>0</v>
      </c>
      <c r="AP102" s="50">
        <f t="shared" si="295"/>
        <v>0</v>
      </c>
      <c r="AQ102" s="770"/>
      <c r="AR102" s="4">
        <f t="shared" si="255"/>
        <v>264000</v>
      </c>
      <c r="AT102" s="4"/>
      <c r="AV102" s="131">
        <f t="shared" si="256"/>
        <v>0</v>
      </c>
      <c r="AW102" s="100">
        <f t="shared" si="257"/>
        <v>0</v>
      </c>
      <c r="AX102" s="100">
        <f t="shared" si="258"/>
        <v>245843.4</v>
      </c>
      <c r="AY102" s="100">
        <f t="shared" si="259"/>
        <v>0</v>
      </c>
      <c r="AZ102" s="100">
        <f t="shared" si="260"/>
        <v>0</v>
      </c>
      <c r="BA102" s="100">
        <f t="shared" si="261"/>
        <v>0</v>
      </c>
      <c r="BB102" s="100">
        <f t="shared" si="262"/>
        <v>0</v>
      </c>
      <c r="BC102" s="100">
        <f t="shared" si="263"/>
        <v>0</v>
      </c>
      <c r="BE102" s="96">
        <f t="shared" si="220"/>
        <v>245843.4</v>
      </c>
      <c r="BG102" t="str">
        <f t="shared" si="297"/>
        <v>Comms/H&amp;M_H&amp;M Campaigns -2021_SCC</v>
      </c>
      <c r="BJ102" s="133">
        <f t="shared" si="213"/>
        <v>0</v>
      </c>
      <c r="BK102" s="133">
        <f t="shared" si="214"/>
        <v>0</v>
      </c>
      <c r="BL102" s="133">
        <f t="shared" si="215"/>
        <v>0</v>
      </c>
      <c r="BM102" s="133">
        <f t="shared" si="216"/>
        <v>0</v>
      </c>
      <c r="BN102" s="133">
        <f t="shared" si="217"/>
        <v>0</v>
      </c>
      <c r="BO102" s="133">
        <f t="shared" si="218"/>
        <v>0</v>
      </c>
      <c r="BP102" s="133">
        <f t="shared" si="219"/>
        <v>0</v>
      </c>
      <c r="BR102" s="815"/>
    </row>
    <row r="103" spans="1:70" ht="30" customHeight="1" x14ac:dyDescent="0.25">
      <c r="A103" s="64">
        <v>6</v>
      </c>
      <c r="B103" s="60" t="s">
        <v>395</v>
      </c>
      <c r="C103" s="27" t="s">
        <v>415</v>
      </c>
      <c r="D103" s="27" t="s">
        <v>38</v>
      </c>
      <c r="E103" s="27" t="str">
        <f t="shared" si="31"/>
        <v>Comms/H&amp;M_H&amp;M Campaigns -2021_RMBC</v>
      </c>
      <c r="F103" s="27" t="str">
        <f t="shared" si="265"/>
        <v>Comms/H&amp;M_RMBC</v>
      </c>
      <c r="G103" s="37" t="s">
        <v>523</v>
      </c>
      <c r="H103" s="331" t="str">
        <f t="shared" si="208"/>
        <v>Comms/H&amp;M_RMBC_capex</v>
      </c>
      <c r="I103" s="331">
        <v>97</v>
      </c>
      <c r="J103" s="4">
        <f t="shared" si="296"/>
        <v>0</v>
      </c>
      <c r="K103" s="27"/>
      <c r="L103" s="30"/>
      <c r="M103" s="62"/>
      <c r="N103" s="62">
        <f>CALC_Current_option!$C$261</f>
        <v>0</v>
      </c>
      <c r="O103" s="30"/>
      <c r="P103" s="62"/>
      <c r="Q103" s="62"/>
      <c r="R103" s="62"/>
      <c r="S103" s="62">
        <f t="shared" ref="S103:S105" si="319">SUM(L103:R103)</f>
        <v>0</v>
      </c>
      <c r="T103" s="67">
        <f t="shared" ref="T103:T105" si="320">SUMPRODUCT(L103:R103,$L$3:$R$3)</f>
        <v>0</v>
      </c>
      <c r="U103" s="62"/>
      <c r="W103" s="13"/>
      <c r="X103" s="14"/>
      <c r="Y103" s="653">
        <v>1</v>
      </c>
      <c r="Z103" s="14"/>
      <c r="AA103" s="14"/>
      <c r="AB103" s="14"/>
      <c r="AC103" s="14"/>
      <c r="AD103" s="15"/>
      <c r="AE103" s="32"/>
      <c r="AF103" s="32"/>
      <c r="AH103" s="284">
        <f t="shared" si="210"/>
        <v>97</v>
      </c>
      <c r="AI103" s="90"/>
      <c r="AJ103" s="91"/>
      <c r="AK103" s="91">
        <f t="shared" si="290"/>
        <v>0</v>
      </c>
      <c r="AL103" s="91"/>
      <c r="AM103" s="91"/>
      <c r="AN103" s="91"/>
      <c r="AO103" s="91"/>
      <c r="AP103" s="50"/>
      <c r="AQ103" s="770"/>
      <c r="AR103" s="4">
        <f t="shared" si="255"/>
        <v>0</v>
      </c>
      <c r="AT103" s="4"/>
      <c r="AV103" s="131"/>
      <c r="AW103" s="100"/>
      <c r="AX103" s="100">
        <f t="shared" si="258"/>
        <v>0</v>
      </c>
      <c r="AY103" s="100"/>
      <c r="AZ103" s="100"/>
      <c r="BA103" s="100"/>
      <c r="BB103" s="100"/>
      <c r="BC103" s="100"/>
      <c r="BE103" s="96">
        <f t="shared" si="220"/>
        <v>0</v>
      </c>
      <c r="BG103" t="str">
        <f t="shared" si="297"/>
        <v>Comms/H&amp;M_H&amp;M Campaigns -2021_RMBC</v>
      </c>
      <c r="BJ103" s="133">
        <f t="shared" si="213"/>
        <v>0</v>
      </c>
      <c r="BK103" s="133">
        <f t="shared" si="214"/>
        <v>0</v>
      </c>
      <c r="BL103" s="133">
        <f t="shared" si="215"/>
        <v>0</v>
      </c>
      <c r="BM103" s="133">
        <f t="shared" si="216"/>
        <v>0</v>
      </c>
      <c r="BN103" s="133">
        <f t="shared" si="217"/>
        <v>0</v>
      </c>
      <c r="BO103" s="133">
        <f t="shared" si="218"/>
        <v>0</v>
      </c>
      <c r="BP103" s="133">
        <f t="shared" si="219"/>
        <v>0</v>
      </c>
      <c r="BR103" s="815"/>
    </row>
    <row r="104" spans="1:70" ht="29.25" customHeight="1" x14ac:dyDescent="0.25">
      <c r="A104" s="64">
        <v>7</v>
      </c>
      <c r="B104" s="60" t="s">
        <v>395</v>
      </c>
      <c r="C104" s="27" t="s">
        <v>422</v>
      </c>
      <c r="D104" s="27" t="s">
        <v>37</v>
      </c>
      <c r="E104" s="27" t="str">
        <f t="shared" si="31"/>
        <v>Comms/H&amp;M_Targetting local goods vehicle owners (to encourage upgrading)_SCC</v>
      </c>
      <c r="F104" s="27" t="str">
        <f t="shared" si="265"/>
        <v>Comms/H&amp;M_SCC</v>
      </c>
      <c r="G104" s="37" t="s">
        <v>523</v>
      </c>
      <c r="H104" s="331" t="str">
        <f t="shared" si="208"/>
        <v>Comms/H&amp;M_SCC_capex</v>
      </c>
      <c r="I104" s="331">
        <v>98</v>
      </c>
      <c r="J104" s="4">
        <f t="shared" si="296"/>
        <v>80000</v>
      </c>
      <c r="K104" s="27"/>
      <c r="L104" s="62"/>
      <c r="M104" s="62">
        <f>CALC_Current_option!$C$262</f>
        <v>40000</v>
      </c>
      <c r="N104" s="62">
        <f>CALC_Current_option!$C$262</f>
        <v>40000</v>
      </c>
      <c r="O104" s="62"/>
      <c r="P104" s="62"/>
      <c r="Q104" s="62"/>
      <c r="R104" s="62"/>
      <c r="S104" s="62">
        <f t="shared" si="319"/>
        <v>80000</v>
      </c>
      <c r="T104" s="67">
        <f t="shared" si="320"/>
        <v>75849</v>
      </c>
      <c r="U104" s="62"/>
      <c r="W104" s="13"/>
      <c r="X104" s="14"/>
      <c r="Y104" s="653">
        <v>1</v>
      </c>
      <c r="Z104" s="14"/>
      <c r="AA104" s="14"/>
      <c r="AB104" s="14"/>
      <c r="AC104" s="14"/>
      <c r="AD104" s="15"/>
      <c r="AE104" s="32"/>
      <c r="AF104" s="32"/>
      <c r="AH104" s="284">
        <f t="shared" si="210"/>
        <v>98</v>
      </c>
      <c r="AI104" s="90"/>
      <c r="AJ104" s="91"/>
      <c r="AK104" s="91">
        <f t="shared" si="290"/>
        <v>80000</v>
      </c>
      <c r="AL104" s="91"/>
      <c r="AM104" s="91"/>
      <c r="AN104" s="91"/>
      <c r="AO104" s="91"/>
      <c r="AP104" s="50"/>
      <c r="AQ104" s="770"/>
      <c r="AR104" s="4">
        <f t="shared" si="255"/>
        <v>80000</v>
      </c>
      <c r="AT104" s="4"/>
      <c r="AV104" s="131"/>
      <c r="AW104" s="100"/>
      <c r="AX104" s="100">
        <f t="shared" si="258"/>
        <v>75849</v>
      </c>
      <c r="AY104" s="100"/>
      <c r="AZ104" s="100"/>
      <c r="BA104" s="100"/>
      <c r="BB104" s="100"/>
      <c r="BC104" s="100"/>
      <c r="BE104" s="96">
        <f t="shared" si="220"/>
        <v>75849</v>
      </c>
      <c r="BG104" t="str">
        <f t="shared" si="297"/>
        <v>Comms/H&amp;M_Targetting local goods vehicle owners (to encourage upgrading)_SCC</v>
      </c>
      <c r="BJ104" s="133">
        <f t="shared" si="213"/>
        <v>0</v>
      </c>
      <c r="BK104" s="133">
        <f t="shared" si="214"/>
        <v>0</v>
      </c>
      <c r="BL104" s="133">
        <f t="shared" si="215"/>
        <v>0</v>
      </c>
      <c r="BM104" s="133">
        <f t="shared" si="216"/>
        <v>0</v>
      </c>
      <c r="BN104" s="133">
        <f t="shared" si="217"/>
        <v>0</v>
      </c>
      <c r="BO104" s="133">
        <f t="shared" si="218"/>
        <v>0</v>
      </c>
      <c r="BP104" s="133">
        <f t="shared" si="219"/>
        <v>0</v>
      </c>
      <c r="BR104" s="815"/>
    </row>
    <row r="105" spans="1:70" ht="32.25" customHeight="1" x14ac:dyDescent="0.25">
      <c r="A105" s="64">
        <v>8</v>
      </c>
      <c r="B105" s="60" t="s">
        <v>395</v>
      </c>
      <c r="C105" s="124" t="s">
        <v>413</v>
      </c>
      <c r="D105" s="27" t="s">
        <v>37</v>
      </c>
      <c r="E105" s="27" t="str">
        <f t="shared" ref="E105" si="321">CONCATENATE(B105,"_",C105,"_",D105)</f>
        <v>Comms/H&amp;M_Stakeholder Engagement &amp; Public Consultation - OBC_SCC</v>
      </c>
      <c r="F105" s="27" t="str">
        <f t="shared" si="265"/>
        <v>Comms/H&amp;M_SCC</v>
      </c>
      <c r="G105" s="37" t="s">
        <v>523</v>
      </c>
      <c r="H105" s="331" t="str">
        <f t="shared" si="208"/>
        <v>Comms/H&amp;M_SCC_capex</v>
      </c>
      <c r="I105" s="331">
        <v>99</v>
      </c>
      <c r="J105" s="4">
        <f t="shared" si="296"/>
        <v>46000</v>
      </c>
      <c r="K105" s="27"/>
      <c r="L105" s="62">
        <f>CALC_Current_option!C263</f>
        <v>46000</v>
      </c>
      <c r="M105" s="62"/>
      <c r="N105" s="62"/>
      <c r="O105" s="62"/>
      <c r="P105" s="62"/>
      <c r="Q105" s="62"/>
      <c r="R105" s="62"/>
      <c r="S105" s="62">
        <f t="shared" si="319"/>
        <v>46000</v>
      </c>
      <c r="T105" s="67">
        <f t="shared" si="320"/>
        <v>46000</v>
      </c>
      <c r="U105" s="62"/>
      <c r="W105" s="13"/>
      <c r="X105" s="14"/>
      <c r="Y105" s="653">
        <v>1</v>
      </c>
      <c r="Z105" s="14"/>
      <c r="AA105" s="14"/>
      <c r="AB105" s="14"/>
      <c r="AC105" s="14"/>
      <c r="AD105" s="15"/>
      <c r="AE105" s="32"/>
      <c r="AF105" s="32"/>
      <c r="AH105" s="284">
        <f t="shared" si="210"/>
        <v>99</v>
      </c>
      <c r="AI105" s="90"/>
      <c r="AJ105" s="91"/>
      <c r="AK105" s="91">
        <f t="shared" si="290"/>
        <v>46000</v>
      </c>
      <c r="AL105" s="91"/>
      <c r="AM105" s="91"/>
      <c r="AN105" s="91"/>
      <c r="AO105" s="91"/>
      <c r="AP105" s="50"/>
      <c r="AQ105" s="770"/>
      <c r="AR105" s="4">
        <f t="shared" si="255"/>
        <v>46000</v>
      </c>
      <c r="AT105" s="4"/>
      <c r="AV105" s="131"/>
      <c r="AW105" s="100"/>
      <c r="AX105" s="100">
        <f t="shared" si="258"/>
        <v>46000</v>
      </c>
      <c r="AY105" s="100"/>
      <c r="AZ105" s="100"/>
      <c r="BA105" s="100"/>
      <c r="BB105" s="100"/>
      <c r="BC105" s="100"/>
      <c r="BE105" s="96">
        <f t="shared" si="220"/>
        <v>46000</v>
      </c>
      <c r="BG105" t="str">
        <f t="shared" si="297"/>
        <v>Comms/H&amp;M_Stakeholder Engagement &amp; Public Consultation - OBC_SCC</v>
      </c>
      <c r="BJ105" s="133">
        <f t="shared" si="213"/>
        <v>0</v>
      </c>
      <c r="BK105" s="133">
        <f t="shared" si="214"/>
        <v>0</v>
      </c>
      <c r="BL105" s="133">
        <f t="shared" si="215"/>
        <v>0</v>
      </c>
      <c r="BM105" s="133">
        <f t="shared" si="216"/>
        <v>0</v>
      </c>
      <c r="BN105" s="133">
        <f t="shared" si="217"/>
        <v>0</v>
      </c>
      <c r="BO105" s="133">
        <f t="shared" si="218"/>
        <v>0</v>
      </c>
      <c r="BP105" s="133">
        <f t="shared" si="219"/>
        <v>0</v>
      </c>
      <c r="BR105" s="815"/>
    </row>
    <row r="106" spans="1:70" ht="30" customHeight="1" x14ac:dyDescent="0.25">
      <c r="A106" s="64">
        <v>9</v>
      </c>
      <c r="B106" s="60" t="s">
        <v>395</v>
      </c>
      <c r="C106" s="27" t="s">
        <v>413</v>
      </c>
      <c r="D106" s="27" t="s">
        <v>38</v>
      </c>
      <c r="E106" s="27" t="str">
        <f t="shared" si="31"/>
        <v>Comms/H&amp;M_Stakeholder Engagement &amp; Public Consultation - OBC_RMBC</v>
      </c>
      <c r="F106" s="27" t="str">
        <f t="shared" si="265"/>
        <v>Comms/H&amp;M_RMBC</v>
      </c>
      <c r="G106" s="37" t="s">
        <v>523</v>
      </c>
      <c r="H106" s="331" t="str">
        <f t="shared" si="208"/>
        <v>Comms/H&amp;M_RMBC_capex</v>
      </c>
      <c r="I106" s="331">
        <v>100</v>
      </c>
      <c r="J106" s="4">
        <f t="shared" si="296"/>
        <v>34500</v>
      </c>
      <c r="K106" s="27"/>
      <c r="L106" s="62">
        <f>CALC_Current_option!C264</f>
        <v>34500</v>
      </c>
      <c r="M106" s="62"/>
      <c r="N106" s="62"/>
      <c r="O106" s="62"/>
      <c r="P106" s="62"/>
      <c r="Q106" s="62"/>
      <c r="R106" s="62"/>
      <c r="S106" s="62">
        <f t="shared" si="286"/>
        <v>34500</v>
      </c>
      <c r="T106" s="67">
        <f t="shared" si="287"/>
        <v>34500</v>
      </c>
      <c r="U106" s="62"/>
      <c r="W106" s="13"/>
      <c r="X106" s="14"/>
      <c r="Y106" s="653">
        <v>1</v>
      </c>
      <c r="Z106" s="14"/>
      <c r="AA106" s="14"/>
      <c r="AB106" s="14"/>
      <c r="AC106" s="14"/>
      <c r="AD106" s="15"/>
      <c r="AE106" s="32"/>
      <c r="AF106" s="32"/>
      <c r="AH106" s="284">
        <f t="shared" si="210"/>
        <v>100</v>
      </c>
      <c r="AI106" s="90">
        <f t="shared" si="288"/>
        <v>0</v>
      </c>
      <c r="AJ106" s="91">
        <f t="shared" si="289"/>
        <v>0</v>
      </c>
      <c r="AK106" s="91">
        <f t="shared" si="290"/>
        <v>34500</v>
      </c>
      <c r="AL106" s="91">
        <f t="shared" si="291"/>
        <v>0</v>
      </c>
      <c r="AM106" s="91">
        <f t="shared" si="292"/>
        <v>0</v>
      </c>
      <c r="AN106" s="91">
        <f t="shared" si="293"/>
        <v>0</v>
      </c>
      <c r="AO106" s="91">
        <f t="shared" si="294"/>
        <v>0</v>
      </c>
      <c r="AP106" s="50">
        <f t="shared" si="295"/>
        <v>0</v>
      </c>
      <c r="AQ106" s="770"/>
      <c r="AR106" s="4">
        <f t="shared" si="255"/>
        <v>34500</v>
      </c>
      <c r="AT106" s="4"/>
      <c r="AV106" s="131">
        <f t="shared" si="256"/>
        <v>0</v>
      </c>
      <c r="AW106" s="100">
        <f t="shared" si="257"/>
        <v>0</v>
      </c>
      <c r="AX106" s="100">
        <f t="shared" si="258"/>
        <v>34500</v>
      </c>
      <c r="AY106" s="100">
        <f t="shared" si="259"/>
        <v>0</v>
      </c>
      <c r="AZ106" s="100">
        <f t="shared" si="260"/>
        <v>0</v>
      </c>
      <c r="BA106" s="100">
        <f t="shared" si="261"/>
        <v>0</v>
      </c>
      <c r="BB106" s="100">
        <f t="shared" si="262"/>
        <v>0</v>
      </c>
      <c r="BC106" s="100">
        <f t="shared" si="263"/>
        <v>0</v>
      </c>
      <c r="BE106" s="96">
        <f t="shared" si="220"/>
        <v>34500</v>
      </c>
      <c r="BG106" t="str">
        <f t="shared" si="297"/>
        <v>Comms/H&amp;M_Stakeholder Engagement &amp; Public Consultation - OBC_RMBC</v>
      </c>
      <c r="BJ106" s="133">
        <f t="shared" si="213"/>
        <v>0</v>
      </c>
      <c r="BK106" s="133">
        <f t="shared" si="214"/>
        <v>0</v>
      </c>
      <c r="BL106" s="133">
        <f t="shared" si="215"/>
        <v>0</v>
      </c>
      <c r="BM106" s="133">
        <f t="shared" si="216"/>
        <v>0</v>
      </c>
      <c r="BN106" s="133">
        <f t="shared" si="217"/>
        <v>0</v>
      </c>
      <c r="BO106" s="133">
        <f t="shared" si="218"/>
        <v>0</v>
      </c>
      <c r="BP106" s="133">
        <f t="shared" si="219"/>
        <v>0</v>
      </c>
      <c r="BR106" s="815"/>
    </row>
    <row r="107" spans="1:70" ht="30" customHeight="1" x14ac:dyDescent="0.25">
      <c r="A107" s="64">
        <v>10</v>
      </c>
      <c r="B107" s="60" t="s">
        <v>395</v>
      </c>
      <c r="C107" s="27" t="s">
        <v>414</v>
      </c>
      <c r="D107" s="27" t="s">
        <v>37</v>
      </c>
      <c r="E107" s="27" t="str">
        <f t="shared" si="31"/>
        <v>Comms/H&amp;M_Stakeholder Engagement &amp; Public Consultation - FBC_SCC</v>
      </c>
      <c r="F107" s="27" t="str">
        <f t="shared" si="265"/>
        <v>Comms/H&amp;M_SCC</v>
      </c>
      <c r="G107" s="37" t="s">
        <v>523</v>
      </c>
      <c r="H107" s="331" t="str">
        <f t="shared" si="208"/>
        <v>Comms/H&amp;M_SCC_capex</v>
      </c>
      <c r="I107" s="331">
        <v>101</v>
      </c>
      <c r="J107" s="4">
        <f t="shared" si="296"/>
        <v>0</v>
      </c>
      <c r="K107" s="27"/>
      <c r="L107" s="62">
        <f>CALC_Current_option!C265</f>
        <v>0</v>
      </c>
      <c r="M107" s="62"/>
      <c r="N107" s="62"/>
      <c r="O107" s="62"/>
      <c r="P107" s="62"/>
      <c r="Q107" s="62"/>
      <c r="R107" s="62"/>
      <c r="S107" s="62">
        <f t="shared" si="286"/>
        <v>0</v>
      </c>
      <c r="T107" s="67">
        <f t="shared" si="287"/>
        <v>0</v>
      </c>
      <c r="U107" s="62"/>
      <c r="W107" s="13"/>
      <c r="X107" s="14"/>
      <c r="Y107" s="653">
        <v>1</v>
      </c>
      <c r="Z107" s="14"/>
      <c r="AA107" s="14"/>
      <c r="AB107" s="14"/>
      <c r="AC107" s="14"/>
      <c r="AD107" s="15"/>
      <c r="AE107" s="32"/>
      <c r="AF107" s="32"/>
      <c r="AH107" s="284">
        <f t="shared" si="210"/>
        <v>101</v>
      </c>
      <c r="AI107" s="90">
        <f t="shared" si="288"/>
        <v>0</v>
      </c>
      <c r="AJ107" s="91">
        <f t="shared" si="289"/>
        <v>0</v>
      </c>
      <c r="AK107" s="91">
        <f t="shared" si="290"/>
        <v>0</v>
      </c>
      <c r="AL107" s="91">
        <f t="shared" si="291"/>
        <v>0</v>
      </c>
      <c r="AM107" s="91">
        <f t="shared" si="292"/>
        <v>0</v>
      </c>
      <c r="AN107" s="91">
        <f t="shared" si="293"/>
        <v>0</v>
      </c>
      <c r="AO107" s="91">
        <f t="shared" si="294"/>
        <v>0</v>
      </c>
      <c r="AP107" s="50">
        <f t="shared" si="295"/>
        <v>0</v>
      </c>
      <c r="AQ107" s="770"/>
      <c r="AR107" s="4">
        <f t="shared" si="255"/>
        <v>0</v>
      </c>
      <c r="AT107" s="4"/>
      <c r="AV107" s="131">
        <f t="shared" si="256"/>
        <v>0</v>
      </c>
      <c r="AW107" s="100">
        <f t="shared" si="257"/>
        <v>0</v>
      </c>
      <c r="AX107" s="100">
        <f t="shared" si="258"/>
        <v>0</v>
      </c>
      <c r="AY107" s="100">
        <f t="shared" si="259"/>
        <v>0</v>
      </c>
      <c r="AZ107" s="100">
        <f t="shared" si="260"/>
        <v>0</v>
      </c>
      <c r="BA107" s="100">
        <f t="shared" si="261"/>
        <v>0</v>
      </c>
      <c r="BB107" s="100">
        <f t="shared" si="262"/>
        <v>0</v>
      </c>
      <c r="BC107" s="100">
        <f t="shared" si="263"/>
        <v>0</v>
      </c>
      <c r="BE107" s="96">
        <f t="shared" si="220"/>
        <v>0</v>
      </c>
      <c r="BG107" t="str">
        <f t="shared" si="297"/>
        <v>Comms/H&amp;M_Stakeholder Engagement &amp; Public Consultation - FBC_SCC</v>
      </c>
      <c r="BJ107" s="133">
        <f t="shared" si="213"/>
        <v>0</v>
      </c>
      <c r="BK107" s="133">
        <f t="shared" si="214"/>
        <v>0</v>
      </c>
      <c r="BL107" s="133">
        <f t="shared" si="215"/>
        <v>0</v>
      </c>
      <c r="BM107" s="133">
        <f t="shared" si="216"/>
        <v>0</v>
      </c>
      <c r="BN107" s="133">
        <f t="shared" si="217"/>
        <v>0</v>
      </c>
      <c r="BO107" s="133">
        <f t="shared" si="218"/>
        <v>0</v>
      </c>
      <c r="BP107" s="133">
        <f t="shared" si="219"/>
        <v>0</v>
      </c>
      <c r="BR107" s="815"/>
    </row>
    <row r="108" spans="1:70" ht="30" customHeight="1" x14ac:dyDescent="0.25">
      <c r="A108" s="516">
        <v>11</v>
      </c>
      <c r="B108" s="60" t="s">
        <v>395</v>
      </c>
      <c r="C108" s="27" t="s">
        <v>414</v>
      </c>
      <c r="D108" s="27" t="s">
        <v>38</v>
      </c>
      <c r="E108" s="27" t="str">
        <f t="shared" si="31"/>
        <v>Comms/H&amp;M_Stakeholder Engagement &amp; Public Consultation - FBC_RMBC</v>
      </c>
      <c r="F108" s="27" t="str">
        <f t="shared" si="265"/>
        <v>Comms/H&amp;M_RMBC</v>
      </c>
      <c r="G108" s="37" t="s">
        <v>523</v>
      </c>
      <c r="H108" s="331" t="str">
        <f t="shared" si="208"/>
        <v>Comms/H&amp;M_RMBC_capex</v>
      </c>
      <c r="I108" s="331">
        <v>102</v>
      </c>
      <c r="J108" s="4">
        <f t="shared" si="296"/>
        <v>0</v>
      </c>
      <c r="K108" s="27"/>
      <c r="L108" s="62">
        <f>CALC_Current_option!C266</f>
        <v>0</v>
      </c>
      <c r="M108" s="62"/>
      <c r="N108" s="62"/>
      <c r="O108" s="62"/>
      <c r="P108" s="62"/>
      <c r="Q108" s="62"/>
      <c r="R108" s="62"/>
      <c r="S108" s="62">
        <f t="shared" si="286"/>
        <v>0</v>
      </c>
      <c r="T108" s="67">
        <f t="shared" si="287"/>
        <v>0</v>
      </c>
      <c r="U108" s="62"/>
      <c r="W108" s="13"/>
      <c r="X108" s="14"/>
      <c r="Y108" s="653">
        <v>1</v>
      </c>
      <c r="Z108" s="14"/>
      <c r="AA108" s="14"/>
      <c r="AB108" s="14"/>
      <c r="AC108" s="14"/>
      <c r="AD108" s="15"/>
      <c r="AE108" s="32"/>
      <c r="AF108" s="32"/>
      <c r="AH108" s="284">
        <f t="shared" si="210"/>
        <v>102</v>
      </c>
      <c r="AI108" s="90">
        <f t="shared" si="288"/>
        <v>0</v>
      </c>
      <c r="AJ108" s="91">
        <f t="shared" si="289"/>
        <v>0</v>
      </c>
      <c r="AK108" s="91">
        <f t="shared" si="290"/>
        <v>0</v>
      </c>
      <c r="AL108" s="91">
        <f t="shared" si="291"/>
        <v>0</v>
      </c>
      <c r="AM108" s="91">
        <f t="shared" si="292"/>
        <v>0</v>
      </c>
      <c r="AN108" s="91">
        <f t="shared" si="293"/>
        <v>0</v>
      </c>
      <c r="AO108" s="91">
        <f t="shared" si="294"/>
        <v>0</v>
      </c>
      <c r="AP108" s="50">
        <f t="shared" si="295"/>
        <v>0</v>
      </c>
      <c r="AQ108" s="770"/>
      <c r="AR108" s="4">
        <f t="shared" si="255"/>
        <v>0</v>
      </c>
      <c r="AT108" s="4"/>
      <c r="AV108" s="131">
        <f t="shared" si="256"/>
        <v>0</v>
      </c>
      <c r="AW108" s="100">
        <f t="shared" si="257"/>
        <v>0</v>
      </c>
      <c r="AX108" s="100">
        <f t="shared" si="258"/>
        <v>0</v>
      </c>
      <c r="AY108" s="100">
        <f t="shared" si="259"/>
        <v>0</v>
      </c>
      <c r="AZ108" s="100">
        <f t="shared" si="260"/>
        <v>0</v>
      </c>
      <c r="BA108" s="100">
        <f t="shared" si="261"/>
        <v>0</v>
      </c>
      <c r="BB108" s="100">
        <f t="shared" si="262"/>
        <v>0</v>
      </c>
      <c r="BC108" s="100">
        <f t="shared" si="263"/>
        <v>0</v>
      </c>
      <c r="BE108" s="96">
        <f t="shared" si="220"/>
        <v>0</v>
      </c>
      <c r="BG108" t="str">
        <f t="shared" si="297"/>
        <v>Comms/H&amp;M_Stakeholder Engagement &amp; Public Consultation - FBC_RMBC</v>
      </c>
      <c r="BJ108" s="133">
        <f t="shared" si="213"/>
        <v>0</v>
      </c>
      <c r="BK108" s="133">
        <f t="shared" si="214"/>
        <v>0</v>
      </c>
      <c r="BL108" s="133">
        <f t="shared" si="215"/>
        <v>0</v>
      </c>
      <c r="BM108" s="133">
        <f t="shared" si="216"/>
        <v>0</v>
      </c>
      <c r="BN108" s="133">
        <f t="shared" si="217"/>
        <v>0</v>
      </c>
      <c r="BO108" s="133">
        <f t="shared" si="218"/>
        <v>0</v>
      </c>
      <c r="BP108" s="133">
        <f t="shared" si="219"/>
        <v>0</v>
      </c>
      <c r="BR108" s="815"/>
    </row>
    <row r="109" spans="1:70" ht="30" customHeight="1" x14ac:dyDescent="0.25">
      <c r="A109" s="64">
        <v>12</v>
      </c>
      <c r="B109" s="60" t="s">
        <v>395</v>
      </c>
      <c r="C109" s="27" t="s">
        <v>408</v>
      </c>
      <c r="D109" s="27" t="s">
        <v>37</v>
      </c>
      <c r="E109" s="27" t="str">
        <f t="shared" si="31"/>
        <v>Comms/H&amp;M_General Comms - OBC_SCC</v>
      </c>
      <c r="F109" s="27" t="str">
        <f t="shared" si="265"/>
        <v>Comms/H&amp;M_SCC</v>
      </c>
      <c r="G109" s="37" t="s">
        <v>523</v>
      </c>
      <c r="H109" s="331" t="str">
        <f t="shared" si="208"/>
        <v>Comms/H&amp;M_SCC_capex</v>
      </c>
      <c r="I109" s="331">
        <v>103</v>
      </c>
      <c r="J109" s="4">
        <f t="shared" si="296"/>
        <v>83400</v>
      </c>
      <c r="K109" s="27"/>
      <c r="L109" s="62">
        <f>CALC_Current_option!C267</f>
        <v>83400</v>
      </c>
      <c r="M109" s="62"/>
      <c r="N109" s="62"/>
      <c r="O109" s="62"/>
      <c r="P109" s="62"/>
      <c r="Q109" s="62"/>
      <c r="R109" s="62"/>
      <c r="S109" s="62">
        <f t="shared" si="286"/>
        <v>83400</v>
      </c>
      <c r="T109" s="67">
        <f t="shared" si="287"/>
        <v>83400</v>
      </c>
      <c r="U109" s="62"/>
      <c r="W109" s="13"/>
      <c r="X109" s="14"/>
      <c r="Y109" s="653">
        <v>1</v>
      </c>
      <c r="Z109" s="14"/>
      <c r="AA109" s="14"/>
      <c r="AB109" s="14"/>
      <c r="AC109" s="14"/>
      <c r="AD109" s="15"/>
      <c r="AE109" s="32"/>
      <c r="AF109" s="32"/>
      <c r="AH109" s="284">
        <f t="shared" si="210"/>
        <v>103</v>
      </c>
      <c r="AI109" s="90">
        <f t="shared" si="288"/>
        <v>0</v>
      </c>
      <c r="AJ109" s="91">
        <f t="shared" si="289"/>
        <v>0</v>
      </c>
      <c r="AK109" s="91">
        <f t="shared" si="290"/>
        <v>83400</v>
      </c>
      <c r="AL109" s="91">
        <f t="shared" si="291"/>
        <v>0</v>
      </c>
      <c r="AM109" s="91">
        <f t="shared" si="292"/>
        <v>0</v>
      </c>
      <c r="AN109" s="91">
        <f t="shared" si="293"/>
        <v>0</v>
      </c>
      <c r="AO109" s="91">
        <f t="shared" si="294"/>
        <v>0</v>
      </c>
      <c r="AP109" s="50">
        <f t="shared" si="295"/>
        <v>0</v>
      </c>
      <c r="AQ109" s="770"/>
      <c r="AR109" s="4">
        <f t="shared" si="255"/>
        <v>83400</v>
      </c>
      <c r="AT109" s="4"/>
      <c r="AV109" s="131">
        <f t="shared" si="256"/>
        <v>0</v>
      </c>
      <c r="AW109" s="100">
        <f t="shared" si="257"/>
        <v>0</v>
      </c>
      <c r="AX109" s="100">
        <f t="shared" si="258"/>
        <v>83400</v>
      </c>
      <c r="AY109" s="100">
        <f t="shared" si="259"/>
        <v>0</v>
      </c>
      <c r="AZ109" s="100">
        <f t="shared" si="260"/>
        <v>0</v>
      </c>
      <c r="BA109" s="100">
        <f t="shared" si="261"/>
        <v>0</v>
      </c>
      <c r="BB109" s="100">
        <f t="shared" si="262"/>
        <v>0</v>
      </c>
      <c r="BC109" s="100">
        <f t="shared" si="263"/>
        <v>0</v>
      </c>
      <c r="BE109" s="96">
        <f t="shared" si="220"/>
        <v>83400</v>
      </c>
      <c r="BG109" t="str">
        <f t="shared" si="297"/>
        <v>Comms/H&amp;M_General Comms - OBC_SCC</v>
      </c>
      <c r="BJ109" s="133">
        <f t="shared" si="213"/>
        <v>0</v>
      </c>
      <c r="BK109" s="133">
        <f t="shared" si="214"/>
        <v>0</v>
      </c>
      <c r="BL109" s="133">
        <f t="shared" si="215"/>
        <v>0</v>
      </c>
      <c r="BM109" s="133">
        <f t="shared" si="216"/>
        <v>0</v>
      </c>
      <c r="BN109" s="133">
        <f t="shared" si="217"/>
        <v>0</v>
      </c>
      <c r="BO109" s="133">
        <f t="shared" si="218"/>
        <v>0</v>
      </c>
      <c r="BP109" s="133">
        <f t="shared" si="219"/>
        <v>0</v>
      </c>
      <c r="BR109" s="815"/>
    </row>
    <row r="110" spans="1:70" ht="30" customHeight="1" x14ac:dyDescent="0.25">
      <c r="A110" s="64">
        <v>13</v>
      </c>
      <c r="B110" s="60" t="s">
        <v>395</v>
      </c>
      <c r="C110" s="27" t="s">
        <v>409</v>
      </c>
      <c r="D110" s="27" t="s">
        <v>37</v>
      </c>
      <c r="E110" s="27" t="str">
        <f t="shared" ref="E110" si="322">CONCATENATE(B110,"_",C110,"_",D110)</f>
        <v>Comms/H&amp;M_General Comms - FBC (per annum)_SCC</v>
      </c>
      <c r="F110" s="27" t="str">
        <f t="shared" si="265"/>
        <v>Comms/H&amp;M_SCC</v>
      </c>
      <c r="G110" s="37" t="s">
        <v>523</v>
      </c>
      <c r="H110" s="331" t="str">
        <f t="shared" si="208"/>
        <v>Comms/H&amp;M_SCC_capex</v>
      </c>
      <c r="I110" s="331">
        <v>104</v>
      </c>
      <c r="J110" s="4">
        <f t="shared" si="296"/>
        <v>266100</v>
      </c>
      <c r="K110" s="27"/>
      <c r="L110" s="62"/>
      <c r="M110" s="62">
        <f>CALC_Current_option!$C$268</f>
        <v>88700</v>
      </c>
      <c r="N110" s="62">
        <f>CALC_Current_option!$C$268</f>
        <v>88700</v>
      </c>
      <c r="O110" s="62">
        <f>CALC_Current_option!$C$268</f>
        <v>88700</v>
      </c>
      <c r="P110" s="62"/>
      <c r="Q110" s="62"/>
      <c r="R110" s="62"/>
      <c r="S110" s="62">
        <f t="shared" ref="S110" si="323">SUM(L110:R110)</f>
        <v>266100</v>
      </c>
      <c r="T110" s="67">
        <f t="shared" ref="T110" si="324">SUMPRODUCT(L110:R110,$L$3:$R$3)</f>
        <v>247903.82698750001</v>
      </c>
      <c r="U110" s="62"/>
      <c r="W110" s="13"/>
      <c r="X110" s="14"/>
      <c r="Y110" s="653">
        <v>1</v>
      </c>
      <c r="Z110" s="14"/>
      <c r="AA110" s="14"/>
      <c r="AB110" s="14"/>
      <c r="AC110" s="14"/>
      <c r="AD110" s="15"/>
      <c r="AE110" s="32"/>
      <c r="AF110" s="32"/>
      <c r="AH110" s="284">
        <f t="shared" si="210"/>
        <v>104</v>
      </c>
      <c r="AI110" s="90">
        <f t="shared" ref="AI110" si="325">$S110*W110</f>
        <v>0</v>
      </c>
      <c r="AJ110" s="91">
        <f t="shared" ref="AJ110" si="326">$S110*X110</f>
        <v>0</v>
      </c>
      <c r="AK110" s="91">
        <f t="shared" ref="AK110" si="327">$S110*Y110</f>
        <v>266100</v>
      </c>
      <c r="AL110" s="91">
        <f t="shared" ref="AL110" si="328">$S110*Z110</f>
        <v>0</v>
      </c>
      <c r="AM110" s="91">
        <f t="shared" ref="AM110" si="329">$S110*AA110</f>
        <v>0</v>
      </c>
      <c r="AN110" s="91">
        <f t="shared" ref="AN110" si="330">$S110*AB110</f>
        <v>0</v>
      </c>
      <c r="AO110" s="91">
        <f t="shared" ref="AO110" si="331">$S110*AC110</f>
        <v>0</v>
      </c>
      <c r="AP110" s="50">
        <f t="shared" ref="AP110" si="332">$S110*AD110</f>
        <v>0</v>
      </c>
      <c r="AQ110" s="770"/>
      <c r="AR110" s="4">
        <f t="shared" ref="AR110" si="333">SUM(AI110:AP110)</f>
        <v>266100</v>
      </c>
      <c r="AT110" s="4"/>
      <c r="AV110" s="131">
        <f t="shared" ref="AV110" si="334">$T110*W110</f>
        <v>0</v>
      </c>
      <c r="AW110" s="100">
        <f t="shared" ref="AW110" si="335">$T110*X110</f>
        <v>0</v>
      </c>
      <c r="AX110" s="100">
        <f t="shared" ref="AX110" si="336">$T110*Y110</f>
        <v>247903.82698750001</v>
      </c>
      <c r="AY110" s="100">
        <f t="shared" ref="AY110" si="337">$T110*Z110</f>
        <v>0</v>
      </c>
      <c r="AZ110" s="100">
        <f t="shared" ref="AZ110" si="338">$T110*AA110</f>
        <v>0</v>
      </c>
      <c r="BA110" s="100">
        <f t="shared" ref="BA110" si="339">$T110*AB110</f>
        <v>0</v>
      </c>
      <c r="BB110" s="100">
        <f t="shared" ref="BB110" si="340">$T110*AC110</f>
        <v>0</v>
      </c>
      <c r="BC110" s="100">
        <f t="shared" ref="BC110" si="341">$T110*AD110</f>
        <v>0</v>
      </c>
      <c r="BE110" s="96">
        <f t="shared" si="220"/>
        <v>247903.82698750001</v>
      </c>
      <c r="BG110" t="str">
        <f t="shared" si="297"/>
        <v>Comms/H&amp;M_General Comms - FBC (per annum)_SCC</v>
      </c>
      <c r="BJ110" s="133">
        <f t="shared" si="213"/>
        <v>0</v>
      </c>
      <c r="BK110" s="133">
        <f t="shared" si="214"/>
        <v>0</v>
      </c>
      <c r="BL110" s="133">
        <f t="shared" si="215"/>
        <v>0</v>
      </c>
      <c r="BM110" s="133">
        <f t="shared" si="216"/>
        <v>0</v>
      </c>
      <c r="BN110" s="133">
        <f t="shared" si="217"/>
        <v>0</v>
      </c>
      <c r="BO110" s="133">
        <f t="shared" si="218"/>
        <v>0</v>
      </c>
      <c r="BP110" s="133">
        <f t="shared" si="219"/>
        <v>0</v>
      </c>
      <c r="BR110" s="815"/>
    </row>
    <row r="111" spans="1:70" ht="30" customHeight="1" x14ac:dyDescent="0.25">
      <c r="A111" s="64">
        <v>14</v>
      </c>
      <c r="B111" s="60" t="s">
        <v>395</v>
      </c>
      <c r="C111" s="27" t="s">
        <v>421</v>
      </c>
      <c r="D111" s="27" t="s">
        <v>38</v>
      </c>
      <c r="E111" s="27" t="str">
        <f t="shared" ref="E111" si="342">CONCATENATE(B111,"_",C111,"_",D111)</f>
        <v>Comms/H&amp;M_Hearts &amp; Minds/Ecostars on big HGV fleets_RMBC</v>
      </c>
      <c r="F111" s="27" t="str">
        <f t="shared" si="265"/>
        <v>Comms/H&amp;M_RMBC</v>
      </c>
      <c r="G111" s="37" t="s">
        <v>523</v>
      </c>
      <c r="H111" s="331" t="str">
        <f t="shared" si="208"/>
        <v>Comms/H&amp;M_RMBC_capex</v>
      </c>
      <c r="I111" s="331">
        <v>105</v>
      </c>
      <c r="J111" s="4">
        <f t="shared" si="296"/>
        <v>120000</v>
      </c>
      <c r="K111" s="27"/>
      <c r="L111" s="62"/>
      <c r="M111" s="62">
        <f>CALC_Current_option!$C$270</f>
        <v>60000</v>
      </c>
      <c r="N111" s="62">
        <f>CALC_Current_option!$C$270</f>
        <v>60000</v>
      </c>
      <c r="O111" s="62"/>
      <c r="P111" s="62"/>
      <c r="Q111" s="62"/>
      <c r="R111" s="62"/>
      <c r="S111" s="62">
        <f t="shared" ref="S111" si="343">SUM(L111:R111)</f>
        <v>120000</v>
      </c>
      <c r="T111" s="67">
        <f t="shared" ref="T111" si="344">SUMPRODUCT(L111:R111,$L$3:$R$3)</f>
        <v>113773.5</v>
      </c>
      <c r="U111" s="62"/>
      <c r="W111" s="13"/>
      <c r="X111" s="14"/>
      <c r="Y111" s="653">
        <v>1</v>
      </c>
      <c r="Z111" s="14"/>
      <c r="AA111" s="14"/>
      <c r="AB111" s="14"/>
      <c r="AC111" s="14"/>
      <c r="AD111" s="15"/>
      <c r="AE111" s="32"/>
      <c r="AF111" s="32"/>
      <c r="AH111" s="284">
        <f t="shared" si="210"/>
        <v>105</v>
      </c>
      <c r="AI111" s="90">
        <f t="shared" ref="AI111" si="345">$S111*W111</f>
        <v>0</v>
      </c>
      <c r="AJ111" s="91">
        <f t="shared" ref="AJ111" si="346">$S111*X111</f>
        <v>0</v>
      </c>
      <c r="AK111" s="91">
        <f t="shared" ref="AK111" si="347">$S111*Y111</f>
        <v>120000</v>
      </c>
      <c r="AL111" s="91">
        <f t="shared" ref="AL111" si="348">$S111*Z111</f>
        <v>0</v>
      </c>
      <c r="AM111" s="91">
        <f t="shared" ref="AM111" si="349">$S111*AA111</f>
        <v>0</v>
      </c>
      <c r="AN111" s="91">
        <f t="shared" ref="AN111" si="350">$S111*AB111</f>
        <v>0</v>
      </c>
      <c r="AO111" s="91">
        <f t="shared" ref="AO111" si="351">$S111*AC111</f>
        <v>0</v>
      </c>
      <c r="AP111" s="50">
        <f t="shared" ref="AP111" si="352">$S111*AD111</f>
        <v>0</v>
      </c>
      <c r="AQ111" s="770"/>
      <c r="AR111" s="4">
        <f t="shared" ref="AR111" si="353">SUM(AI111:AP111)</f>
        <v>120000</v>
      </c>
      <c r="AT111" s="4"/>
      <c r="AV111" s="131">
        <f t="shared" ref="AV111" si="354">$T111*W111</f>
        <v>0</v>
      </c>
      <c r="AW111" s="100">
        <f t="shared" ref="AW111" si="355">$T111*X111</f>
        <v>0</v>
      </c>
      <c r="AX111" s="100">
        <f t="shared" ref="AX111" si="356">$T111*Y111</f>
        <v>113773.5</v>
      </c>
      <c r="AY111" s="100">
        <f t="shared" ref="AY111" si="357">$T111*Z111</f>
        <v>0</v>
      </c>
      <c r="AZ111" s="100">
        <f t="shared" ref="AZ111" si="358">$T111*AA111</f>
        <v>0</v>
      </c>
      <c r="BA111" s="100">
        <f t="shared" ref="BA111" si="359">$T111*AB111</f>
        <v>0</v>
      </c>
      <c r="BB111" s="100">
        <f t="shared" ref="BB111" si="360">$T111*AC111</f>
        <v>0</v>
      </c>
      <c r="BC111" s="100">
        <f t="shared" ref="BC111" si="361">$T111*AD111</f>
        <v>0</v>
      </c>
      <c r="BE111" s="96">
        <f t="shared" ref="BE111" si="362">SUM(AV111:BC111)</f>
        <v>113773.5</v>
      </c>
      <c r="BG111" t="str">
        <f t="shared" si="297"/>
        <v>Comms/H&amp;M_Hearts &amp; Minds/Ecostars on big HGV fleets_RMBC</v>
      </c>
      <c r="BJ111" s="133">
        <f t="shared" si="213"/>
        <v>0</v>
      </c>
      <c r="BK111" s="133">
        <f t="shared" si="214"/>
        <v>0</v>
      </c>
      <c r="BL111" s="133">
        <f t="shared" si="215"/>
        <v>0</v>
      </c>
      <c r="BM111" s="133">
        <f t="shared" si="216"/>
        <v>0</v>
      </c>
      <c r="BN111" s="133">
        <f t="shared" si="217"/>
        <v>0</v>
      </c>
      <c r="BO111" s="133">
        <f t="shared" si="218"/>
        <v>0</v>
      </c>
      <c r="BP111" s="133">
        <f t="shared" si="219"/>
        <v>0</v>
      </c>
      <c r="BR111" s="815"/>
    </row>
    <row r="112" spans="1:70" ht="15" customHeight="1" x14ac:dyDescent="0.25">
      <c r="A112" s="64"/>
      <c r="B112" s="60"/>
      <c r="C112" s="27"/>
      <c r="D112" s="27"/>
      <c r="E112" s="27"/>
      <c r="F112" s="27"/>
      <c r="G112" s="332"/>
      <c r="H112" s="331"/>
      <c r="I112" s="331">
        <v>106</v>
      </c>
      <c r="J112" s="4">
        <f t="shared" si="296"/>
        <v>0</v>
      </c>
      <c r="K112" s="27"/>
      <c r="L112" s="62"/>
      <c r="M112" s="62"/>
      <c r="N112" s="62"/>
      <c r="O112" s="62"/>
      <c r="P112" s="62"/>
      <c r="Q112" s="62"/>
      <c r="R112" s="62"/>
      <c r="S112" s="62"/>
      <c r="T112" s="67"/>
      <c r="U112" s="62"/>
      <c r="W112" s="13"/>
      <c r="X112" s="14"/>
      <c r="Y112" s="14"/>
      <c r="Z112" s="14"/>
      <c r="AA112" s="14"/>
      <c r="AB112" s="14"/>
      <c r="AC112" s="14"/>
      <c r="AD112" s="15"/>
      <c r="AE112" s="32"/>
      <c r="AF112" s="32"/>
      <c r="AH112" s="284">
        <f t="shared" si="210"/>
        <v>106</v>
      </c>
      <c r="AI112" s="90"/>
      <c r="AJ112" s="91"/>
      <c r="AK112" s="91"/>
      <c r="AL112" s="91"/>
      <c r="AM112" s="91"/>
      <c r="AN112" s="91"/>
      <c r="AO112" s="91"/>
      <c r="AP112" s="50"/>
      <c r="AQ112" s="770"/>
      <c r="AR112" s="4"/>
      <c r="AT112" s="4"/>
      <c r="AV112" s="131"/>
      <c r="AW112" s="100"/>
      <c r="AX112" s="100"/>
      <c r="AY112" s="100"/>
      <c r="AZ112" s="100"/>
      <c r="BA112" s="100"/>
      <c r="BB112" s="100"/>
      <c r="BC112" s="100"/>
      <c r="BE112" s="96"/>
      <c r="BJ112" s="133"/>
      <c r="BK112" s="133"/>
      <c r="BL112" s="133"/>
      <c r="BM112" s="133"/>
      <c r="BN112" s="133"/>
      <c r="BO112" s="133"/>
      <c r="BP112" s="133"/>
      <c r="BR112" s="815"/>
    </row>
    <row r="113" spans="1:70" ht="15" customHeight="1" x14ac:dyDescent="0.25">
      <c r="A113" s="64"/>
      <c r="B113" s="120" t="s">
        <v>32</v>
      </c>
      <c r="C113" s="27"/>
      <c r="D113" s="27"/>
      <c r="E113" s="27"/>
      <c r="F113" s="27"/>
      <c r="G113" s="332"/>
      <c r="H113" s="331"/>
      <c r="I113" s="331">
        <v>107</v>
      </c>
      <c r="J113" s="4">
        <f t="shared" si="296"/>
        <v>0</v>
      </c>
      <c r="K113" s="27"/>
      <c r="L113" s="62"/>
      <c r="M113" s="62"/>
      <c r="N113" s="62"/>
      <c r="O113" s="62"/>
      <c r="P113" s="62"/>
      <c r="Q113" s="62"/>
      <c r="R113" s="62"/>
      <c r="S113" s="62"/>
      <c r="T113" s="67"/>
      <c r="U113" s="62"/>
      <c r="W113" s="33"/>
      <c r="X113" s="34"/>
      <c r="Y113" s="34"/>
      <c r="Z113" s="34"/>
      <c r="AA113" s="34"/>
      <c r="AB113" s="34"/>
      <c r="AC113" s="34"/>
      <c r="AD113" s="35"/>
      <c r="AE113" s="32"/>
      <c r="AF113" s="32"/>
      <c r="AH113" s="284">
        <f t="shared" si="210"/>
        <v>107</v>
      </c>
      <c r="AI113" s="90"/>
      <c r="AJ113" s="91"/>
      <c r="AK113" s="91"/>
      <c r="AL113" s="91"/>
      <c r="AM113" s="91"/>
      <c r="AN113" s="91"/>
      <c r="AO113" s="91"/>
      <c r="AP113" s="50"/>
      <c r="AQ113" s="770"/>
      <c r="AR113" s="4"/>
      <c r="AT113" s="4"/>
      <c r="AV113" s="131"/>
      <c r="AW113" s="100"/>
      <c r="AX113" s="100"/>
      <c r="AY113" s="100"/>
      <c r="AZ113" s="100"/>
      <c r="BA113" s="100"/>
      <c r="BB113" s="100"/>
      <c r="BC113" s="100"/>
      <c r="BE113" s="96"/>
      <c r="BJ113" s="133"/>
      <c r="BK113" s="133"/>
      <c r="BL113" s="133"/>
      <c r="BM113" s="133"/>
      <c r="BN113" s="133"/>
      <c r="BO113" s="133"/>
      <c r="BP113" s="133"/>
      <c r="BR113" s="815"/>
    </row>
    <row r="114" spans="1:70" ht="15" customHeight="1" x14ac:dyDescent="0.25">
      <c r="A114" s="64"/>
      <c r="B114" s="60"/>
      <c r="C114" s="27"/>
      <c r="D114" s="27"/>
      <c r="E114" s="27"/>
      <c r="F114" s="27"/>
      <c r="G114" s="332"/>
      <c r="H114" s="331"/>
      <c r="I114" s="331">
        <v>108</v>
      </c>
      <c r="J114" s="4">
        <f t="shared" si="296"/>
        <v>0</v>
      </c>
      <c r="K114" s="27"/>
      <c r="L114" s="62"/>
      <c r="M114" s="62"/>
      <c r="N114" s="62"/>
      <c r="O114" s="62"/>
      <c r="P114" s="62"/>
      <c r="Q114" s="62"/>
      <c r="R114" s="62"/>
      <c r="S114" s="62"/>
      <c r="T114" s="67"/>
      <c r="U114" s="62"/>
      <c r="W114" s="33"/>
      <c r="X114" s="34"/>
      <c r="Y114" s="34"/>
      <c r="Z114" s="34"/>
      <c r="AA114" s="34"/>
      <c r="AB114" s="34"/>
      <c r="AC114" s="34"/>
      <c r="AD114" s="35"/>
      <c r="AE114" s="32"/>
      <c r="AF114" s="32"/>
      <c r="AH114" s="284">
        <f t="shared" si="210"/>
        <v>108</v>
      </c>
      <c r="AI114" s="90"/>
      <c r="AJ114" s="91"/>
      <c r="AK114" s="91"/>
      <c r="AL114" s="91"/>
      <c r="AM114" s="91"/>
      <c r="AN114" s="91"/>
      <c r="AO114" s="91"/>
      <c r="AP114" s="50"/>
      <c r="AQ114" s="770"/>
      <c r="AR114" s="4"/>
      <c r="AT114" s="4"/>
      <c r="AV114" s="131"/>
      <c r="AW114" s="100"/>
      <c r="AX114" s="100"/>
      <c r="AY114" s="100"/>
      <c r="AZ114" s="100"/>
      <c r="BA114" s="100"/>
      <c r="BB114" s="100"/>
      <c r="BC114" s="100"/>
      <c r="BE114" s="96"/>
      <c r="BJ114" s="133"/>
      <c r="BK114" s="133"/>
      <c r="BL114" s="133"/>
      <c r="BM114" s="133"/>
      <c r="BN114" s="133"/>
      <c r="BO114" s="133"/>
      <c r="BP114" s="133"/>
      <c r="BR114" s="815"/>
    </row>
    <row r="115" spans="1:70" ht="15" customHeight="1" x14ac:dyDescent="0.25">
      <c r="A115" s="64">
        <v>1</v>
      </c>
      <c r="B115" s="60" t="s">
        <v>31</v>
      </c>
      <c r="C115" s="27" t="s">
        <v>156</v>
      </c>
      <c r="D115" s="27" t="s">
        <v>37</v>
      </c>
      <c r="E115" s="27" t="str">
        <f t="shared" si="31"/>
        <v>M&amp;E_M&amp;E - EMF_SCC</v>
      </c>
      <c r="F115" s="27" t="str">
        <f t="shared" si="265"/>
        <v>M&amp;E_SCC</v>
      </c>
      <c r="G115" s="37" t="s">
        <v>524</v>
      </c>
      <c r="H115" s="331" t="str">
        <f t="shared" si="208"/>
        <v>M&amp;E_SCC_opex</v>
      </c>
      <c r="I115" s="331">
        <v>109</v>
      </c>
      <c r="J115" s="4">
        <f t="shared" si="296"/>
        <v>45000</v>
      </c>
      <c r="K115" s="27"/>
      <c r="L115" s="62">
        <f>CALC_Current_option!C276</f>
        <v>45000</v>
      </c>
      <c r="M115" s="62"/>
      <c r="N115" s="62"/>
      <c r="O115" s="62"/>
      <c r="P115" s="62"/>
      <c r="Q115" s="62"/>
      <c r="R115" s="62"/>
      <c r="S115" s="62">
        <f t="shared" si="286"/>
        <v>45000</v>
      </c>
      <c r="T115" s="67">
        <f t="shared" ref="T115:T127" si="363">SUMPRODUCT(L115:R115,$L$3:$R$3)</f>
        <v>45000</v>
      </c>
      <c r="U115" s="62"/>
      <c r="W115" s="656">
        <v>1</v>
      </c>
      <c r="X115" s="14">
        <v>0</v>
      </c>
      <c r="Y115" s="14"/>
      <c r="Z115" s="14"/>
      <c r="AA115" s="14"/>
      <c r="AB115" s="14"/>
      <c r="AC115" s="14"/>
      <c r="AD115" s="15"/>
      <c r="AE115" s="32"/>
      <c r="AF115" s="32"/>
      <c r="AH115" s="284">
        <f t="shared" si="210"/>
        <v>109</v>
      </c>
      <c r="AI115" s="90">
        <f t="shared" ref="AI115:AI127" si="364">$S115*W115</f>
        <v>45000</v>
      </c>
      <c r="AJ115" s="91">
        <f t="shared" ref="AJ115:AJ127" si="365">$S115*X115</f>
        <v>0</v>
      </c>
      <c r="AK115" s="91">
        <f t="shared" ref="AK115:AK127" si="366">$S115*Y115</f>
        <v>0</v>
      </c>
      <c r="AL115" s="91">
        <f t="shared" ref="AL115:AL127" si="367">$S115*Z115</f>
        <v>0</v>
      </c>
      <c r="AM115" s="91">
        <f t="shared" ref="AM115:AM127" si="368">$S115*AA115</f>
        <v>0</v>
      </c>
      <c r="AN115" s="91">
        <f t="shared" ref="AN115:AN127" si="369">$S115*AB115</f>
        <v>0</v>
      </c>
      <c r="AO115" s="91">
        <f t="shared" ref="AO115:AO127" si="370">$S115*AC115</f>
        <v>0</v>
      </c>
      <c r="AP115" s="50">
        <f t="shared" ref="AP115:AP127" si="371">$S115*AD115</f>
        <v>0</v>
      </c>
      <c r="AQ115" s="770"/>
      <c r="AR115" s="4">
        <f t="shared" si="255"/>
        <v>45000</v>
      </c>
      <c r="AT115" s="4"/>
      <c r="AV115" s="131">
        <f t="shared" si="256"/>
        <v>45000</v>
      </c>
      <c r="AW115" s="100">
        <f t="shared" si="257"/>
        <v>0</v>
      </c>
      <c r="AX115" s="100">
        <f t="shared" si="258"/>
        <v>0</v>
      </c>
      <c r="AY115" s="100">
        <f t="shared" si="259"/>
        <v>0</v>
      </c>
      <c r="AZ115" s="100">
        <f t="shared" si="260"/>
        <v>0</v>
      </c>
      <c r="BA115" s="100">
        <f t="shared" si="261"/>
        <v>0</v>
      </c>
      <c r="BB115" s="100">
        <f t="shared" si="262"/>
        <v>0</v>
      </c>
      <c r="BC115" s="100">
        <f t="shared" si="263"/>
        <v>0</v>
      </c>
      <c r="BE115" s="96">
        <f t="shared" ref="BE115:BE144" si="372">SUM(AV115:BC115)</f>
        <v>45000</v>
      </c>
      <c r="BG115" t="str">
        <f t="shared" si="297"/>
        <v>M&amp;E_M&amp;E - EMF_SCC</v>
      </c>
      <c r="BJ115" s="133">
        <f t="shared" si="213"/>
        <v>0</v>
      </c>
      <c r="BK115" s="133">
        <f t="shared" si="214"/>
        <v>0</v>
      </c>
      <c r="BL115" s="133">
        <f t="shared" si="215"/>
        <v>0</v>
      </c>
      <c r="BM115" s="133">
        <f t="shared" si="216"/>
        <v>0</v>
      </c>
      <c r="BN115" s="133">
        <f t="shared" si="217"/>
        <v>0</v>
      </c>
      <c r="BO115" s="133">
        <f t="shared" si="218"/>
        <v>0</v>
      </c>
      <c r="BP115" s="133">
        <f t="shared" si="219"/>
        <v>0</v>
      </c>
      <c r="BR115" s="815"/>
    </row>
    <row r="116" spans="1:70" ht="15" customHeight="1" x14ac:dyDescent="0.25">
      <c r="A116" s="64">
        <v>2</v>
      </c>
      <c r="B116" s="60" t="s">
        <v>31</v>
      </c>
      <c r="C116" s="27" t="s">
        <v>156</v>
      </c>
      <c r="D116" s="27" t="s">
        <v>38</v>
      </c>
      <c r="E116" s="27" t="str">
        <f t="shared" si="31"/>
        <v>M&amp;E_M&amp;E - EMF_RMBC</v>
      </c>
      <c r="F116" s="27" t="str">
        <f t="shared" si="265"/>
        <v>M&amp;E_RMBC</v>
      </c>
      <c r="G116" s="37" t="s">
        <v>524</v>
      </c>
      <c r="H116" s="331" t="str">
        <f t="shared" si="208"/>
        <v>M&amp;E_RMBC_opex</v>
      </c>
      <c r="I116" s="331">
        <v>110</v>
      </c>
      <c r="J116" s="4">
        <f t="shared" si="296"/>
        <v>20000</v>
      </c>
      <c r="K116" s="27"/>
      <c r="L116" s="62">
        <f>CALC_Current_option!C277</f>
        <v>20000</v>
      </c>
      <c r="M116" s="62"/>
      <c r="N116" s="62"/>
      <c r="O116" s="62"/>
      <c r="P116" s="62"/>
      <c r="Q116" s="62"/>
      <c r="R116" s="62"/>
      <c r="S116" s="62">
        <f t="shared" si="286"/>
        <v>20000</v>
      </c>
      <c r="T116" s="67">
        <f t="shared" si="363"/>
        <v>20000</v>
      </c>
      <c r="U116" s="62"/>
      <c r="W116" s="656">
        <v>1</v>
      </c>
      <c r="X116" s="14">
        <v>0</v>
      </c>
      <c r="Y116" s="14"/>
      <c r="Z116" s="14"/>
      <c r="AA116" s="14"/>
      <c r="AB116" s="14"/>
      <c r="AC116" s="14"/>
      <c r="AD116" s="15"/>
      <c r="AE116" s="32"/>
      <c r="AF116" s="32"/>
      <c r="AH116" s="284">
        <f t="shared" si="210"/>
        <v>110</v>
      </c>
      <c r="AI116" s="90">
        <f t="shared" si="364"/>
        <v>20000</v>
      </c>
      <c r="AJ116" s="91">
        <f t="shared" si="365"/>
        <v>0</v>
      </c>
      <c r="AK116" s="91">
        <f t="shared" si="366"/>
        <v>0</v>
      </c>
      <c r="AL116" s="91">
        <f t="shared" si="367"/>
        <v>0</v>
      </c>
      <c r="AM116" s="91">
        <f t="shared" si="368"/>
        <v>0</v>
      </c>
      <c r="AN116" s="91">
        <f t="shared" si="369"/>
        <v>0</v>
      </c>
      <c r="AO116" s="91">
        <f t="shared" si="370"/>
        <v>0</v>
      </c>
      <c r="AP116" s="50">
        <f t="shared" si="371"/>
        <v>0</v>
      </c>
      <c r="AQ116" s="770"/>
      <c r="AR116" s="4">
        <f t="shared" si="255"/>
        <v>20000</v>
      </c>
      <c r="AT116" s="4"/>
      <c r="AV116" s="131">
        <f t="shared" si="256"/>
        <v>20000</v>
      </c>
      <c r="AW116" s="100">
        <f t="shared" si="257"/>
        <v>0</v>
      </c>
      <c r="AX116" s="100">
        <f t="shared" si="258"/>
        <v>0</v>
      </c>
      <c r="AY116" s="100">
        <f t="shared" si="259"/>
        <v>0</v>
      </c>
      <c r="AZ116" s="100">
        <f t="shared" si="260"/>
        <v>0</v>
      </c>
      <c r="BA116" s="100">
        <f t="shared" si="261"/>
        <v>0</v>
      </c>
      <c r="BB116" s="100">
        <f t="shared" si="262"/>
        <v>0</v>
      </c>
      <c r="BC116" s="100">
        <f t="shared" si="263"/>
        <v>0</v>
      </c>
      <c r="BE116" s="96">
        <f t="shared" si="372"/>
        <v>20000</v>
      </c>
      <c r="BG116" t="str">
        <f t="shared" si="297"/>
        <v>M&amp;E_M&amp;E - EMF_RMBC</v>
      </c>
      <c r="BJ116" s="133">
        <f t="shared" si="213"/>
        <v>0</v>
      </c>
      <c r="BK116" s="133">
        <f t="shared" si="214"/>
        <v>0</v>
      </c>
      <c r="BL116" s="133">
        <f t="shared" si="215"/>
        <v>0</v>
      </c>
      <c r="BM116" s="133">
        <f t="shared" si="216"/>
        <v>0</v>
      </c>
      <c r="BN116" s="133">
        <f t="shared" si="217"/>
        <v>0</v>
      </c>
      <c r="BO116" s="133">
        <f t="shared" si="218"/>
        <v>0</v>
      </c>
      <c r="BP116" s="133">
        <f t="shared" si="219"/>
        <v>0</v>
      </c>
      <c r="BR116" s="815"/>
    </row>
    <row r="117" spans="1:70" ht="30" customHeight="1" x14ac:dyDescent="0.25">
      <c r="A117" s="64">
        <v>3.1</v>
      </c>
      <c r="B117" s="60" t="s">
        <v>31</v>
      </c>
      <c r="C117" s="27" t="s">
        <v>15</v>
      </c>
      <c r="D117" s="27" t="s">
        <v>37</v>
      </c>
      <c r="E117" s="27" t="str">
        <f t="shared" si="31"/>
        <v>M&amp;E_Maintain existing ANPR cameras_SCC</v>
      </c>
      <c r="F117" s="27" t="str">
        <f t="shared" si="265"/>
        <v>M&amp;E_SCC</v>
      </c>
      <c r="G117" s="37" t="s">
        <v>524</v>
      </c>
      <c r="H117" s="331" t="str">
        <f t="shared" si="208"/>
        <v>M&amp;E_SCC_opex</v>
      </c>
      <c r="I117" s="331">
        <v>111</v>
      </c>
      <c r="J117" s="4">
        <f t="shared" si="296"/>
        <v>68000</v>
      </c>
      <c r="K117" s="27"/>
      <c r="L117" s="62">
        <f>CALC_Current_option!$C$278</f>
        <v>17000</v>
      </c>
      <c r="M117" s="62">
        <f>CALC_Current_option!$C$278</f>
        <v>17000</v>
      </c>
      <c r="N117" s="62">
        <f>CALC_Current_option!$C$278</f>
        <v>17000</v>
      </c>
      <c r="O117" s="62">
        <f>CALC_Current_option!$C$278</f>
        <v>17000</v>
      </c>
      <c r="P117" s="62"/>
      <c r="Q117" s="62"/>
      <c r="R117" s="62"/>
      <c r="S117" s="62">
        <f t="shared" si="286"/>
        <v>68000</v>
      </c>
      <c r="T117" s="67">
        <f t="shared" si="363"/>
        <v>64512.571124999995</v>
      </c>
      <c r="U117" s="62"/>
      <c r="W117" s="13"/>
      <c r="X117" s="14"/>
      <c r="Y117" s="653">
        <v>1</v>
      </c>
      <c r="Z117" s="14"/>
      <c r="AA117" s="14"/>
      <c r="AB117" s="14"/>
      <c r="AC117" s="14"/>
      <c r="AD117" s="15"/>
      <c r="AE117" s="32"/>
      <c r="AF117" s="32"/>
      <c r="AH117" s="284">
        <f t="shared" si="210"/>
        <v>111</v>
      </c>
      <c r="AI117" s="90">
        <f t="shared" si="364"/>
        <v>0</v>
      </c>
      <c r="AJ117" s="91">
        <f t="shared" si="365"/>
        <v>0</v>
      </c>
      <c r="AK117" s="91">
        <f t="shared" si="366"/>
        <v>68000</v>
      </c>
      <c r="AL117" s="91">
        <f t="shared" si="367"/>
        <v>0</v>
      </c>
      <c r="AM117" s="91">
        <f t="shared" si="368"/>
        <v>0</v>
      </c>
      <c r="AN117" s="91">
        <f t="shared" si="369"/>
        <v>0</v>
      </c>
      <c r="AO117" s="91">
        <f t="shared" si="370"/>
        <v>0</v>
      </c>
      <c r="AP117" s="50">
        <f t="shared" si="371"/>
        <v>0</v>
      </c>
      <c r="AQ117" s="770"/>
      <c r="AR117" s="4">
        <f t="shared" si="255"/>
        <v>68000</v>
      </c>
      <c r="AT117" s="4"/>
      <c r="AV117" s="131">
        <f t="shared" si="256"/>
        <v>0</v>
      </c>
      <c r="AW117" s="100">
        <f t="shared" si="257"/>
        <v>0</v>
      </c>
      <c r="AX117" s="100">
        <f t="shared" si="258"/>
        <v>64512.571124999995</v>
      </c>
      <c r="AY117" s="100">
        <f t="shared" si="259"/>
        <v>0</v>
      </c>
      <c r="AZ117" s="100">
        <f t="shared" si="260"/>
        <v>0</v>
      </c>
      <c r="BA117" s="100">
        <f t="shared" si="261"/>
        <v>0</v>
      </c>
      <c r="BB117" s="100">
        <f t="shared" si="262"/>
        <v>0</v>
      </c>
      <c r="BC117" s="100">
        <f t="shared" si="263"/>
        <v>0</v>
      </c>
      <c r="BE117" s="96">
        <f t="shared" si="372"/>
        <v>64512.571124999995</v>
      </c>
      <c r="BG117" t="str">
        <f t="shared" si="297"/>
        <v>M&amp;E_Maintain existing ANPR cameras_SCC</v>
      </c>
      <c r="BJ117" s="133">
        <f t="shared" si="213"/>
        <v>0</v>
      </c>
      <c r="BK117" s="133">
        <f t="shared" si="214"/>
        <v>0</v>
      </c>
      <c r="BL117" s="133">
        <f t="shared" si="215"/>
        <v>0</v>
      </c>
      <c r="BM117" s="133">
        <f t="shared" si="216"/>
        <v>0</v>
      </c>
      <c r="BN117" s="133">
        <f t="shared" si="217"/>
        <v>0</v>
      </c>
      <c r="BO117" s="133">
        <f t="shared" si="218"/>
        <v>0</v>
      </c>
      <c r="BP117" s="133">
        <f t="shared" si="219"/>
        <v>0</v>
      </c>
      <c r="BR117" s="815"/>
    </row>
    <row r="118" spans="1:70" ht="30" customHeight="1" x14ac:dyDescent="0.25">
      <c r="A118" s="64">
        <v>3.2</v>
      </c>
      <c r="B118" s="60" t="s">
        <v>31</v>
      </c>
      <c r="C118" s="27" t="s">
        <v>15</v>
      </c>
      <c r="D118" s="27" t="s">
        <v>38</v>
      </c>
      <c r="E118" s="27" t="str">
        <f t="shared" ref="E118" si="373">CONCATENATE(B118,"_",C118,"_",D118)</f>
        <v>M&amp;E_Maintain existing ANPR cameras_RMBC</v>
      </c>
      <c r="F118" s="27" t="str">
        <f t="shared" ref="F118" si="374">CONCATENATE(B118,"_",D118)</f>
        <v>M&amp;E_RMBC</v>
      </c>
      <c r="G118" s="37" t="s">
        <v>524</v>
      </c>
      <c r="H118" s="331" t="str">
        <f t="shared" si="208"/>
        <v>M&amp;E_RMBC_opex</v>
      </c>
      <c r="I118" s="331">
        <v>112</v>
      </c>
      <c r="J118" s="4">
        <f t="shared" si="296"/>
        <v>32000</v>
      </c>
      <c r="K118" s="27"/>
      <c r="L118" s="62">
        <f>CALC_Current_option!$C$279</f>
        <v>8000</v>
      </c>
      <c r="M118" s="62">
        <f>CALC_Current_option!$C$279</f>
        <v>8000</v>
      </c>
      <c r="N118" s="62">
        <f>CALC_Current_option!$C$279</f>
        <v>8000</v>
      </c>
      <c r="O118" s="62">
        <f>CALC_Current_option!$C$279</f>
        <v>8000</v>
      </c>
      <c r="P118" s="62"/>
      <c r="Q118" s="62"/>
      <c r="R118" s="62"/>
      <c r="S118" s="62">
        <f t="shared" ref="S118" si="375">SUM(L118:R118)</f>
        <v>32000</v>
      </c>
      <c r="T118" s="67">
        <f t="shared" ref="T118" si="376">SUMPRODUCT(L118:R118,$L$3:$R$3)</f>
        <v>30358.856999999996</v>
      </c>
      <c r="U118" s="62"/>
      <c r="W118" s="13"/>
      <c r="X118" s="14"/>
      <c r="Y118" s="653">
        <v>1</v>
      </c>
      <c r="Z118" s="14"/>
      <c r="AA118" s="14"/>
      <c r="AB118" s="14"/>
      <c r="AC118" s="14"/>
      <c r="AD118" s="15"/>
      <c r="AE118" s="32"/>
      <c r="AF118" s="32"/>
      <c r="AH118" s="284">
        <f t="shared" si="210"/>
        <v>112</v>
      </c>
      <c r="AI118" s="90">
        <f t="shared" ref="AI118" si="377">$S118*W118</f>
        <v>0</v>
      </c>
      <c r="AJ118" s="91">
        <f t="shared" ref="AJ118" si="378">$S118*X118</f>
        <v>0</v>
      </c>
      <c r="AK118" s="91">
        <f t="shared" ref="AK118" si="379">$S118*Y118</f>
        <v>32000</v>
      </c>
      <c r="AL118" s="91">
        <f t="shared" ref="AL118" si="380">$S118*Z118</f>
        <v>0</v>
      </c>
      <c r="AM118" s="91">
        <f t="shared" ref="AM118" si="381">$S118*AA118</f>
        <v>0</v>
      </c>
      <c r="AN118" s="91">
        <f t="shared" ref="AN118" si="382">$S118*AB118</f>
        <v>0</v>
      </c>
      <c r="AO118" s="91">
        <f t="shared" ref="AO118" si="383">$S118*AC118</f>
        <v>0</v>
      </c>
      <c r="AP118" s="50">
        <f t="shared" ref="AP118" si="384">$S118*AD118</f>
        <v>0</v>
      </c>
      <c r="AQ118" s="770"/>
      <c r="AR118" s="4">
        <f t="shared" ref="AR118" si="385">SUM(AI118:AP118)</f>
        <v>32000</v>
      </c>
      <c r="AT118" s="4"/>
      <c r="AV118" s="131">
        <f t="shared" ref="AV118" si="386">$T118*W118</f>
        <v>0</v>
      </c>
      <c r="AW118" s="100">
        <f t="shared" ref="AW118" si="387">$T118*X118</f>
        <v>0</v>
      </c>
      <c r="AX118" s="100">
        <f t="shared" ref="AX118" si="388">$T118*Y118</f>
        <v>30358.856999999996</v>
      </c>
      <c r="AY118" s="100">
        <f t="shared" ref="AY118" si="389">$T118*Z118</f>
        <v>0</v>
      </c>
      <c r="AZ118" s="100">
        <f t="shared" ref="AZ118" si="390">$T118*AA118</f>
        <v>0</v>
      </c>
      <c r="BA118" s="100">
        <f t="shared" ref="BA118" si="391">$T118*AB118</f>
        <v>0</v>
      </c>
      <c r="BB118" s="100">
        <f t="shared" ref="BB118" si="392">$T118*AC118</f>
        <v>0</v>
      </c>
      <c r="BC118" s="100">
        <f t="shared" ref="BC118" si="393">$T118*AD118</f>
        <v>0</v>
      </c>
      <c r="BE118" s="96">
        <f t="shared" ref="BE118" si="394">SUM(AV118:BC118)</f>
        <v>30358.856999999996</v>
      </c>
      <c r="BG118" t="str">
        <f t="shared" si="297"/>
        <v>M&amp;E_Maintain existing ANPR cameras_RMBC</v>
      </c>
      <c r="BJ118" s="133">
        <f t="shared" si="213"/>
        <v>0</v>
      </c>
      <c r="BK118" s="133">
        <f t="shared" si="214"/>
        <v>0</v>
      </c>
      <c r="BL118" s="133">
        <f t="shared" si="215"/>
        <v>0</v>
      </c>
      <c r="BM118" s="133">
        <f t="shared" si="216"/>
        <v>0</v>
      </c>
      <c r="BN118" s="133">
        <f t="shared" si="217"/>
        <v>0</v>
      </c>
      <c r="BO118" s="133">
        <f t="shared" si="218"/>
        <v>0</v>
      </c>
      <c r="BP118" s="133">
        <f t="shared" si="219"/>
        <v>0</v>
      </c>
      <c r="BR118" s="815"/>
    </row>
    <row r="119" spans="1:70" ht="30" customHeight="1" x14ac:dyDescent="0.25">
      <c r="A119" s="64">
        <v>4</v>
      </c>
      <c r="B119" s="60" t="s">
        <v>31</v>
      </c>
      <c r="C119" s="27" t="s">
        <v>503</v>
      </c>
      <c r="D119" s="27" t="s">
        <v>37</v>
      </c>
      <c r="E119" s="27" t="str">
        <f t="shared" si="31"/>
        <v>M&amp;E_Regular analysis of ANPR data_SCC</v>
      </c>
      <c r="F119" s="27" t="str">
        <f t="shared" si="265"/>
        <v>M&amp;E_SCC</v>
      </c>
      <c r="G119" s="37" t="s">
        <v>524</v>
      </c>
      <c r="H119" s="331" t="str">
        <f t="shared" si="208"/>
        <v>M&amp;E_SCC_opex</v>
      </c>
      <c r="I119" s="331">
        <v>113</v>
      </c>
      <c r="J119" s="4">
        <f t="shared" si="296"/>
        <v>240000</v>
      </c>
      <c r="K119" s="27"/>
      <c r="L119" s="62">
        <f>4*CALC_Current_option!$C$280</f>
        <v>60000</v>
      </c>
      <c r="M119" s="62">
        <f>4*CALC_Current_option!$C$280</f>
        <v>60000</v>
      </c>
      <c r="N119" s="62">
        <f>4*CALC_Current_option!$C$280</f>
        <v>60000</v>
      </c>
      <c r="O119" s="62">
        <f>4*CALC_Current_option!$C$280</f>
        <v>60000</v>
      </c>
      <c r="P119" s="62"/>
      <c r="Q119" s="62"/>
      <c r="R119" s="62"/>
      <c r="S119" s="62">
        <f t="shared" si="286"/>
        <v>240000</v>
      </c>
      <c r="T119" s="67">
        <f t="shared" si="363"/>
        <v>227691.42749999999</v>
      </c>
      <c r="U119" s="62"/>
      <c r="W119" s="13"/>
      <c r="X119" s="14"/>
      <c r="Y119" s="653">
        <v>1</v>
      </c>
      <c r="Z119" s="14"/>
      <c r="AA119" s="14"/>
      <c r="AB119" s="14"/>
      <c r="AC119" s="14"/>
      <c r="AD119" s="15"/>
      <c r="AE119" s="32"/>
      <c r="AF119" s="32"/>
      <c r="AH119" s="284">
        <f t="shared" si="210"/>
        <v>113</v>
      </c>
      <c r="AI119" s="90">
        <f t="shared" si="364"/>
        <v>0</v>
      </c>
      <c r="AJ119" s="91">
        <f t="shared" si="365"/>
        <v>0</v>
      </c>
      <c r="AK119" s="91">
        <f t="shared" si="366"/>
        <v>240000</v>
      </c>
      <c r="AL119" s="91">
        <f t="shared" si="367"/>
        <v>0</v>
      </c>
      <c r="AM119" s="91">
        <f t="shared" si="368"/>
        <v>0</v>
      </c>
      <c r="AN119" s="91">
        <f t="shared" si="369"/>
        <v>0</v>
      </c>
      <c r="AO119" s="91">
        <f t="shared" si="370"/>
        <v>0</v>
      </c>
      <c r="AP119" s="50">
        <f t="shared" si="371"/>
        <v>0</v>
      </c>
      <c r="AQ119" s="770"/>
      <c r="AR119" s="4">
        <f t="shared" si="255"/>
        <v>240000</v>
      </c>
      <c r="AT119" s="4"/>
      <c r="AV119" s="131">
        <f t="shared" si="256"/>
        <v>0</v>
      </c>
      <c r="AW119" s="100">
        <f t="shared" si="257"/>
        <v>0</v>
      </c>
      <c r="AX119" s="100">
        <f t="shared" si="258"/>
        <v>227691.42749999999</v>
      </c>
      <c r="AY119" s="100">
        <f t="shared" si="259"/>
        <v>0</v>
      </c>
      <c r="AZ119" s="100">
        <f t="shared" si="260"/>
        <v>0</v>
      </c>
      <c r="BA119" s="100">
        <f t="shared" si="261"/>
        <v>0</v>
      </c>
      <c r="BB119" s="100">
        <f t="shared" si="262"/>
        <v>0</v>
      </c>
      <c r="BC119" s="100">
        <f t="shared" si="263"/>
        <v>0</v>
      </c>
      <c r="BE119" s="96">
        <f t="shared" si="372"/>
        <v>227691.42749999999</v>
      </c>
      <c r="BG119" t="str">
        <f t="shared" si="297"/>
        <v>M&amp;E_Regular analysis of ANPR data_SCC</v>
      </c>
      <c r="BJ119" s="133">
        <f t="shared" si="213"/>
        <v>0</v>
      </c>
      <c r="BK119" s="133">
        <f t="shared" si="214"/>
        <v>0</v>
      </c>
      <c r="BL119" s="133">
        <f t="shared" si="215"/>
        <v>0</v>
      </c>
      <c r="BM119" s="133">
        <f t="shared" si="216"/>
        <v>0</v>
      </c>
      <c r="BN119" s="133">
        <f t="shared" si="217"/>
        <v>0</v>
      </c>
      <c r="BO119" s="133">
        <f t="shared" si="218"/>
        <v>0</v>
      </c>
      <c r="BP119" s="133">
        <f t="shared" si="219"/>
        <v>0</v>
      </c>
      <c r="BR119" s="815"/>
    </row>
    <row r="120" spans="1:70" ht="30" customHeight="1" x14ac:dyDescent="0.25">
      <c r="A120" s="64">
        <v>5</v>
      </c>
      <c r="B120" s="60" t="s">
        <v>31</v>
      </c>
      <c r="C120" s="27" t="s">
        <v>502</v>
      </c>
      <c r="D120" s="27" t="s">
        <v>38</v>
      </c>
      <c r="E120" s="27" t="str">
        <f t="shared" si="31"/>
        <v>M&amp;E_Regular analysis of ANPR data _RMBC</v>
      </c>
      <c r="F120" s="27" t="str">
        <f t="shared" si="265"/>
        <v>M&amp;E_RMBC</v>
      </c>
      <c r="G120" s="37" t="s">
        <v>524</v>
      </c>
      <c r="H120" s="331" t="str">
        <f t="shared" si="208"/>
        <v>M&amp;E_RMBC_opex</v>
      </c>
      <c r="I120" s="331">
        <v>114</v>
      </c>
      <c r="J120" s="4">
        <f t="shared" si="296"/>
        <v>120000</v>
      </c>
      <c r="K120" s="27"/>
      <c r="L120" s="62">
        <f>4*CALC_Current_option!$C$281</f>
        <v>30000</v>
      </c>
      <c r="M120" s="62">
        <f>4*CALC_Current_option!$C$281</f>
        <v>30000</v>
      </c>
      <c r="N120" s="62">
        <f>4*CALC_Current_option!$C$281</f>
        <v>30000</v>
      </c>
      <c r="O120" s="62">
        <f>4*CALC_Current_option!$C$281</f>
        <v>30000</v>
      </c>
      <c r="P120" s="62"/>
      <c r="Q120" s="62"/>
      <c r="R120" s="62"/>
      <c r="S120" s="62">
        <f t="shared" si="286"/>
        <v>120000</v>
      </c>
      <c r="T120" s="67">
        <f t="shared" si="363"/>
        <v>113845.71375</v>
      </c>
      <c r="U120" s="62"/>
      <c r="W120" s="13"/>
      <c r="X120" s="14"/>
      <c r="Y120" s="653">
        <v>1</v>
      </c>
      <c r="Z120" s="14"/>
      <c r="AA120" s="14"/>
      <c r="AB120" s="14"/>
      <c r="AC120" s="14"/>
      <c r="AD120" s="15"/>
      <c r="AE120" s="32"/>
      <c r="AF120" s="32"/>
      <c r="AH120" s="284">
        <f t="shared" si="210"/>
        <v>114</v>
      </c>
      <c r="AI120" s="90">
        <f t="shared" si="364"/>
        <v>0</v>
      </c>
      <c r="AJ120" s="91">
        <f t="shared" si="365"/>
        <v>0</v>
      </c>
      <c r="AK120" s="91">
        <f t="shared" si="366"/>
        <v>120000</v>
      </c>
      <c r="AL120" s="91">
        <f t="shared" si="367"/>
        <v>0</v>
      </c>
      <c r="AM120" s="91">
        <f t="shared" si="368"/>
        <v>0</v>
      </c>
      <c r="AN120" s="91">
        <f t="shared" si="369"/>
        <v>0</v>
      </c>
      <c r="AO120" s="91">
        <f t="shared" si="370"/>
        <v>0</v>
      </c>
      <c r="AP120" s="50">
        <f t="shared" si="371"/>
        <v>0</v>
      </c>
      <c r="AQ120" s="770"/>
      <c r="AR120" s="4">
        <f t="shared" si="255"/>
        <v>120000</v>
      </c>
      <c r="AT120" s="4"/>
      <c r="AV120" s="131">
        <f t="shared" si="256"/>
        <v>0</v>
      </c>
      <c r="AW120" s="100">
        <f t="shared" si="257"/>
        <v>0</v>
      </c>
      <c r="AX120" s="100">
        <f t="shared" si="258"/>
        <v>113845.71375</v>
      </c>
      <c r="AY120" s="100">
        <f t="shared" si="259"/>
        <v>0</v>
      </c>
      <c r="AZ120" s="100">
        <f t="shared" si="260"/>
        <v>0</v>
      </c>
      <c r="BA120" s="100">
        <f t="shared" si="261"/>
        <v>0</v>
      </c>
      <c r="BB120" s="100">
        <f t="shared" si="262"/>
        <v>0</v>
      </c>
      <c r="BC120" s="100">
        <f t="shared" si="263"/>
        <v>0</v>
      </c>
      <c r="BE120" s="96">
        <f t="shared" si="372"/>
        <v>113845.71375</v>
      </c>
      <c r="BG120" t="str">
        <f t="shared" si="297"/>
        <v>M&amp;E_Regular analysis of ANPR data _RMBC</v>
      </c>
      <c r="BJ120" s="133">
        <f t="shared" si="213"/>
        <v>0</v>
      </c>
      <c r="BK120" s="133">
        <f t="shared" si="214"/>
        <v>0</v>
      </c>
      <c r="BL120" s="133">
        <f t="shared" si="215"/>
        <v>0</v>
      </c>
      <c r="BM120" s="133">
        <f t="shared" si="216"/>
        <v>0</v>
      </c>
      <c r="BN120" s="133">
        <f t="shared" si="217"/>
        <v>0</v>
      </c>
      <c r="BO120" s="133">
        <f t="shared" si="218"/>
        <v>0</v>
      </c>
      <c r="BP120" s="133">
        <f t="shared" si="219"/>
        <v>0</v>
      </c>
      <c r="BR120" s="815"/>
    </row>
    <row r="121" spans="1:70" ht="30" customHeight="1" x14ac:dyDescent="0.25">
      <c r="A121" s="64">
        <v>6</v>
      </c>
      <c r="B121" s="60" t="s">
        <v>31</v>
      </c>
      <c r="C121" s="27" t="s">
        <v>504</v>
      </c>
      <c r="D121" s="27" t="s">
        <v>38</v>
      </c>
      <c r="E121" s="27" t="str">
        <f t="shared" si="31"/>
        <v>M&amp;E_Checking compliance with Rotherham schemes_RMBC</v>
      </c>
      <c r="F121" s="27" t="str">
        <f t="shared" si="265"/>
        <v>M&amp;E_RMBC</v>
      </c>
      <c r="G121" s="37" t="s">
        <v>524</v>
      </c>
      <c r="H121" s="331" t="str">
        <f t="shared" si="208"/>
        <v>M&amp;E_RMBC_opex</v>
      </c>
      <c r="I121" s="331">
        <v>115</v>
      </c>
      <c r="J121" s="4">
        <f t="shared" si="296"/>
        <v>60000</v>
      </c>
      <c r="K121" s="27"/>
      <c r="L121" s="62"/>
      <c r="M121" s="62">
        <f>CALC_Current_option!$C$282</f>
        <v>20000</v>
      </c>
      <c r="N121" s="62">
        <f>CALC_Current_option!$C$282</f>
        <v>20000</v>
      </c>
      <c r="O121" s="62">
        <f>CALC_Current_option!$C$282</f>
        <v>20000</v>
      </c>
      <c r="P121" s="62"/>
      <c r="Q121" s="62"/>
      <c r="R121" s="62"/>
      <c r="S121" s="62">
        <f t="shared" ref="S121" si="395">SUM(L121:R121)</f>
        <v>60000</v>
      </c>
      <c r="T121" s="67">
        <f t="shared" ref="T121" si="396">SUMPRODUCT(L121:R121,$L$3:$R$3)</f>
        <v>55897.142500000002</v>
      </c>
      <c r="U121" s="62"/>
      <c r="W121" s="13"/>
      <c r="X121" s="14"/>
      <c r="Y121" s="653">
        <v>1</v>
      </c>
      <c r="Z121" s="14"/>
      <c r="AA121" s="14"/>
      <c r="AB121" s="14"/>
      <c r="AC121" s="14"/>
      <c r="AD121" s="15"/>
      <c r="AE121" s="32"/>
      <c r="AF121" s="32"/>
      <c r="AH121" s="284">
        <f t="shared" si="210"/>
        <v>115</v>
      </c>
      <c r="AI121" s="90">
        <f t="shared" ref="AI121" si="397">$S121*W121</f>
        <v>0</v>
      </c>
      <c r="AJ121" s="91">
        <f t="shared" ref="AJ121" si="398">$S121*X121</f>
        <v>0</v>
      </c>
      <c r="AK121" s="91">
        <f t="shared" ref="AK121" si="399">$S121*Y121</f>
        <v>60000</v>
      </c>
      <c r="AL121" s="91">
        <f t="shared" ref="AL121" si="400">$S121*Z121</f>
        <v>0</v>
      </c>
      <c r="AM121" s="91">
        <f t="shared" ref="AM121" si="401">$S121*AA121</f>
        <v>0</v>
      </c>
      <c r="AN121" s="91">
        <f t="shared" ref="AN121" si="402">$S121*AB121</f>
        <v>0</v>
      </c>
      <c r="AO121" s="91">
        <f t="shared" ref="AO121" si="403">$S121*AC121</f>
        <v>0</v>
      </c>
      <c r="AP121" s="50">
        <f t="shared" ref="AP121" si="404">$S121*AD121</f>
        <v>0</v>
      </c>
      <c r="AQ121" s="770"/>
      <c r="AR121" s="4">
        <f t="shared" ref="AR121" si="405">SUM(AI121:AP121)</f>
        <v>60000</v>
      </c>
      <c r="AT121" s="4"/>
      <c r="AV121" s="131">
        <f t="shared" ref="AV121" si="406">$T121*W121</f>
        <v>0</v>
      </c>
      <c r="AW121" s="100">
        <f t="shared" ref="AW121" si="407">$T121*X121</f>
        <v>0</v>
      </c>
      <c r="AX121" s="100">
        <f t="shared" ref="AX121" si="408">$T121*Y121</f>
        <v>55897.142500000002</v>
      </c>
      <c r="AY121" s="100">
        <f t="shared" ref="AY121" si="409">$T121*Z121</f>
        <v>0</v>
      </c>
      <c r="AZ121" s="100">
        <f t="shared" ref="AZ121" si="410">$T121*AA121</f>
        <v>0</v>
      </c>
      <c r="BA121" s="100">
        <f t="shared" ref="BA121" si="411">$T121*AB121</f>
        <v>0</v>
      </c>
      <c r="BB121" s="100">
        <f t="shared" ref="BB121" si="412">$T121*AC121</f>
        <v>0</v>
      </c>
      <c r="BC121" s="100">
        <f t="shared" ref="BC121" si="413">$T121*AD121</f>
        <v>0</v>
      </c>
      <c r="BE121" s="96">
        <f t="shared" ref="BE121" si="414">SUM(AV121:BC121)</f>
        <v>55897.142500000002</v>
      </c>
      <c r="BG121" t="str">
        <f t="shared" si="297"/>
        <v>M&amp;E_Checking compliance with Rotherham schemes_RMBC</v>
      </c>
      <c r="BJ121" s="133">
        <f t="shared" si="213"/>
        <v>0</v>
      </c>
      <c r="BK121" s="133">
        <f t="shared" si="214"/>
        <v>0</v>
      </c>
      <c r="BL121" s="133">
        <f t="shared" si="215"/>
        <v>0</v>
      </c>
      <c r="BM121" s="133">
        <f t="shared" si="216"/>
        <v>0</v>
      </c>
      <c r="BN121" s="133">
        <f t="shared" si="217"/>
        <v>0</v>
      </c>
      <c r="BO121" s="133">
        <f t="shared" si="218"/>
        <v>0</v>
      </c>
      <c r="BP121" s="133">
        <f t="shared" si="219"/>
        <v>0</v>
      </c>
      <c r="BR121" s="815"/>
    </row>
    <row r="122" spans="1:70" ht="30" customHeight="1" x14ac:dyDescent="0.25">
      <c r="A122" s="64">
        <v>7</v>
      </c>
      <c r="B122" s="60" t="s">
        <v>31</v>
      </c>
      <c r="C122" s="27" t="s">
        <v>42</v>
      </c>
      <c r="D122" s="27" t="s">
        <v>37</v>
      </c>
      <c r="E122" s="27" t="str">
        <f t="shared" si="31"/>
        <v>M&amp;E_Strengthening the AQ Monitoring/Modelling Teams_SCC</v>
      </c>
      <c r="F122" s="27" t="str">
        <f t="shared" si="265"/>
        <v>M&amp;E_SCC</v>
      </c>
      <c r="G122" s="37" t="s">
        <v>523</v>
      </c>
      <c r="H122" s="331" t="str">
        <f t="shared" si="208"/>
        <v>M&amp;E_SCC_capex</v>
      </c>
      <c r="I122" s="331">
        <v>116</v>
      </c>
      <c r="J122" s="4">
        <f t="shared" si="296"/>
        <v>200000</v>
      </c>
      <c r="K122" s="27"/>
      <c r="L122" s="62">
        <f>CALC_Current_option!$C$283</f>
        <v>50000</v>
      </c>
      <c r="M122" s="62">
        <f>CALC_Current_option!$C$283</f>
        <v>50000</v>
      </c>
      <c r="N122" s="62">
        <f>CALC_Current_option!$C$283</f>
        <v>50000</v>
      </c>
      <c r="O122" s="62">
        <f>CALC_Current_option!$C$283</f>
        <v>50000</v>
      </c>
      <c r="P122" s="62"/>
      <c r="Q122" s="62"/>
      <c r="R122" s="62"/>
      <c r="S122" s="62">
        <f t="shared" si="286"/>
        <v>200000</v>
      </c>
      <c r="T122" s="67">
        <f t="shared" si="363"/>
        <v>189742.85625000001</v>
      </c>
      <c r="U122" s="62"/>
      <c r="W122" s="13"/>
      <c r="X122" s="14"/>
      <c r="Y122" s="653">
        <v>1</v>
      </c>
      <c r="Z122" s="14"/>
      <c r="AA122" s="14"/>
      <c r="AB122" s="14"/>
      <c r="AC122" s="14"/>
      <c r="AD122" s="15"/>
      <c r="AE122" s="32"/>
      <c r="AF122" s="32"/>
      <c r="AH122" s="284">
        <f t="shared" si="210"/>
        <v>116</v>
      </c>
      <c r="AI122" s="90">
        <f t="shared" si="364"/>
        <v>0</v>
      </c>
      <c r="AJ122" s="91">
        <f t="shared" si="365"/>
        <v>0</v>
      </c>
      <c r="AK122" s="91">
        <f t="shared" si="366"/>
        <v>200000</v>
      </c>
      <c r="AL122" s="91">
        <f t="shared" si="367"/>
        <v>0</v>
      </c>
      <c r="AM122" s="91">
        <f t="shared" si="368"/>
        <v>0</v>
      </c>
      <c r="AN122" s="91">
        <f t="shared" si="369"/>
        <v>0</v>
      </c>
      <c r="AO122" s="91">
        <f t="shared" si="370"/>
        <v>0</v>
      </c>
      <c r="AP122" s="50">
        <f t="shared" si="371"/>
        <v>0</v>
      </c>
      <c r="AQ122" s="770"/>
      <c r="AR122" s="4">
        <f t="shared" si="255"/>
        <v>200000</v>
      </c>
      <c r="AT122" s="4"/>
      <c r="AV122" s="131">
        <f t="shared" si="256"/>
        <v>0</v>
      </c>
      <c r="AW122" s="100">
        <f t="shared" si="257"/>
        <v>0</v>
      </c>
      <c r="AX122" s="100">
        <f t="shared" si="258"/>
        <v>189742.85625000001</v>
      </c>
      <c r="AY122" s="100">
        <f t="shared" si="259"/>
        <v>0</v>
      </c>
      <c r="AZ122" s="100">
        <f t="shared" si="260"/>
        <v>0</v>
      </c>
      <c r="BA122" s="100">
        <f t="shared" si="261"/>
        <v>0</v>
      </c>
      <c r="BB122" s="100">
        <f t="shared" si="262"/>
        <v>0</v>
      </c>
      <c r="BC122" s="100">
        <f t="shared" si="263"/>
        <v>0</v>
      </c>
      <c r="BE122" s="96">
        <f t="shared" si="372"/>
        <v>189742.85625000001</v>
      </c>
      <c r="BG122" t="str">
        <f t="shared" si="297"/>
        <v>M&amp;E_Strengthening the AQ Monitoring/Modelling Teams_SCC</v>
      </c>
      <c r="BJ122" s="133">
        <f t="shared" si="213"/>
        <v>0</v>
      </c>
      <c r="BK122" s="133">
        <f t="shared" si="214"/>
        <v>0</v>
      </c>
      <c r="BL122" s="133">
        <f t="shared" si="215"/>
        <v>0</v>
      </c>
      <c r="BM122" s="133">
        <f t="shared" si="216"/>
        <v>0</v>
      </c>
      <c r="BN122" s="133">
        <f t="shared" si="217"/>
        <v>0</v>
      </c>
      <c r="BO122" s="133">
        <f t="shared" si="218"/>
        <v>0</v>
      </c>
      <c r="BP122" s="133">
        <f t="shared" si="219"/>
        <v>0</v>
      </c>
      <c r="BR122" s="815"/>
    </row>
    <row r="123" spans="1:70" ht="30" customHeight="1" x14ac:dyDescent="0.25">
      <c r="A123" s="64">
        <v>8</v>
      </c>
      <c r="B123" s="60" t="s">
        <v>31</v>
      </c>
      <c r="C123" s="27" t="s">
        <v>42</v>
      </c>
      <c r="D123" s="27" t="s">
        <v>38</v>
      </c>
      <c r="E123" s="27" t="str">
        <f t="shared" si="31"/>
        <v>M&amp;E_Strengthening the AQ Monitoring/Modelling Teams_RMBC</v>
      </c>
      <c r="F123" s="27" t="str">
        <f t="shared" si="265"/>
        <v>M&amp;E_RMBC</v>
      </c>
      <c r="G123" s="37" t="s">
        <v>523</v>
      </c>
      <c r="H123" s="331" t="str">
        <f t="shared" si="208"/>
        <v>M&amp;E_RMBC_capex</v>
      </c>
      <c r="I123" s="331">
        <v>117</v>
      </c>
      <c r="J123" s="4">
        <f t="shared" si="296"/>
        <v>200000</v>
      </c>
      <c r="K123" s="27"/>
      <c r="L123" s="62">
        <f>CALC_Current_option!$C$284</f>
        <v>50000</v>
      </c>
      <c r="M123" s="62">
        <f>CALC_Current_option!$C$284</f>
        <v>50000</v>
      </c>
      <c r="N123" s="62">
        <f>CALC_Current_option!$C$284</f>
        <v>50000</v>
      </c>
      <c r="O123" s="62">
        <f>CALC_Current_option!$C$284</f>
        <v>50000</v>
      </c>
      <c r="P123" s="62"/>
      <c r="Q123" s="62"/>
      <c r="R123" s="62"/>
      <c r="S123" s="62">
        <f t="shared" si="286"/>
        <v>200000</v>
      </c>
      <c r="T123" s="67">
        <f t="shared" si="363"/>
        <v>189742.85625000001</v>
      </c>
      <c r="U123" s="62"/>
      <c r="W123" s="13"/>
      <c r="X123" s="14"/>
      <c r="Y123" s="653">
        <v>1</v>
      </c>
      <c r="Z123" s="14"/>
      <c r="AA123" s="14"/>
      <c r="AB123" s="14"/>
      <c r="AC123" s="14"/>
      <c r="AD123" s="15"/>
      <c r="AE123" s="32"/>
      <c r="AF123" s="32"/>
      <c r="AH123" s="284">
        <f t="shared" si="210"/>
        <v>117</v>
      </c>
      <c r="AI123" s="90">
        <f t="shared" si="364"/>
        <v>0</v>
      </c>
      <c r="AJ123" s="91">
        <f t="shared" si="365"/>
        <v>0</v>
      </c>
      <c r="AK123" s="91">
        <f t="shared" si="366"/>
        <v>200000</v>
      </c>
      <c r="AL123" s="91">
        <f t="shared" si="367"/>
        <v>0</v>
      </c>
      <c r="AM123" s="91">
        <f t="shared" si="368"/>
        <v>0</v>
      </c>
      <c r="AN123" s="91">
        <f t="shared" si="369"/>
        <v>0</v>
      </c>
      <c r="AO123" s="91">
        <f t="shared" si="370"/>
        <v>0</v>
      </c>
      <c r="AP123" s="50">
        <f t="shared" si="371"/>
        <v>0</v>
      </c>
      <c r="AQ123" s="770"/>
      <c r="AR123" s="4">
        <f t="shared" si="255"/>
        <v>200000</v>
      </c>
      <c r="AT123" s="4"/>
      <c r="AV123" s="131">
        <f t="shared" si="256"/>
        <v>0</v>
      </c>
      <c r="AW123" s="100">
        <f t="shared" si="257"/>
        <v>0</v>
      </c>
      <c r="AX123" s="100">
        <f t="shared" si="258"/>
        <v>189742.85625000001</v>
      </c>
      <c r="AY123" s="100">
        <f t="shared" si="259"/>
        <v>0</v>
      </c>
      <c r="AZ123" s="100">
        <f t="shared" si="260"/>
        <v>0</v>
      </c>
      <c r="BA123" s="100">
        <f t="shared" si="261"/>
        <v>0</v>
      </c>
      <c r="BB123" s="100">
        <f t="shared" si="262"/>
        <v>0</v>
      </c>
      <c r="BC123" s="100">
        <f t="shared" si="263"/>
        <v>0</v>
      </c>
      <c r="BE123" s="96">
        <f t="shared" si="372"/>
        <v>189742.85625000001</v>
      </c>
      <c r="BG123" t="str">
        <f t="shared" si="297"/>
        <v>M&amp;E_Strengthening the AQ Monitoring/Modelling Teams_RMBC</v>
      </c>
      <c r="BJ123" s="133">
        <f t="shared" si="213"/>
        <v>0</v>
      </c>
      <c r="BK123" s="133">
        <f t="shared" si="214"/>
        <v>0</v>
      </c>
      <c r="BL123" s="133">
        <f t="shared" si="215"/>
        <v>0</v>
      </c>
      <c r="BM123" s="133">
        <f t="shared" si="216"/>
        <v>0</v>
      </c>
      <c r="BN123" s="133">
        <f t="shared" si="217"/>
        <v>0</v>
      </c>
      <c r="BO123" s="133">
        <f t="shared" si="218"/>
        <v>0</v>
      </c>
      <c r="BP123" s="133">
        <f t="shared" si="219"/>
        <v>0</v>
      </c>
      <c r="BR123" s="815"/>
    </row>
    <row r="124" spans="1:70" ht="15" customHeight="1" x14ac:dyDescent="0.25">
      <c r="A124" s="64">
        <v>9</v>
      </c>
      <c r="B124" s="60" t="s">
        <v>31</v>
      </c>
      <c r="C124" s="27" t="s">
        <v>43</v>
      </c>
      <c r="D124" s="27" t="s">
        <v>37</v>
      </c>
      <c r="E124" s="27" t="str">
        <f t="shared" si="31"/>
        <v>M&amp;E_Regular analysis of AQ data_SCC</v>
      </c>
      <c r="F124" s="27" t="str">
        <f t="shared" si="265"/>
        <v>M&amp;E_SCC</v>
      </c>
      <c r="G124" s="37" t="s">
        <v>524</v>
      </c>
      <c r="H124" s="331" t="str">
        <f t="shared" si="208"/>
        <v>M&amp;E_SCC_opex</v>
      </c>
      <c r="I124" s="331">
        <v>118</v>
      </c>
      <c r="J124" s="4">
        <f t="shared" si="296"/>
        <v>120000</v>
      </c>
      <c r="K124" s="27"/>
      <c r="L124" s="62">
        <f>4*CALC_Current_option!$C$285</f>
        <v>30000</v>
      </c>
      <c r="M124" s="62">
        <f>4*CALC_Current_option!$C$285</f>
        <v>30000</v>
      </c>
      <c r="N124" s="62">
        <f>4*CALC_Current_option!$C$285</f>
        <v>30000</v>
      </c>
      <c r="O124" s="62">
        <f>4*CALC_Current_option!$C$285</f>
        <v>30000</v>
      </c>
      <c r="P124" s="62"/>
      <c r="Q124" s="62"/>
      <c r="R124" s="62"/>
      <c r="S124" s="62">
        <f t="shared" si="286"/>
        <v>120000</v>
      </c>
      <c r="T124" s="67">
        <f t="shared" si="363"/>
        <v>113845.71375</v>
      </c>
      <c r="U124" s="62"/>
      <c r="W124" s="13"/>
      <c r="X124" s="14"/>
      <c r="Y124" s="653">
        <v>1</v>
      </c>
      <c r="Z124" s="14"/>
      <c r="AA124" s="14"/>
      <c r="AB124" s="14"/>
      <c r="AC124" s="14"/>
      <c r="AD124" s="15"/>
      <c r="AE124" s="32"/>
      <c r="AF124" s="32"/>
      <c r="AH124" s="284">
        <f t="shared" si="210"/>
        <v>118</v>
      </c>
      <c r="AI124" s="90">
        <f t="shared" si="364"/>
        <v>0</v>
      </c>
      <c r="AJ124" s="91">
        <f t="shared" si="365"/>
        <v>0</v>
      </c>
      <c r="AK124" s="91">
        <f t="shared" si="366"/>
        <v>120000</v>
      </c>
      <c r="AL124" s="91">
        <f t="shared" si="367"/>
        <v>0</v>
      </c>
      <c r="AM124" s="91">
        <f t="shared" si="368"/>
        <v>0</v>
      </c>
      <c r="AN124" s="91">
        <f t="shared" si="369"/>
        <v>0</v>
      </c>
      <c r="AO124" s="91">
        <f t="shared" si="370"/>
        <v>0</v>
      </c>
      <c r="AP124" s="50">
        <f t="shared" si="371"/>
        <v>0</v>
      </c>
      <c r="AQ124" s="770"/>
      <c r="AR124" s="4">
        <f t="shared" si="255"/>
        <v>120000</v>
      </c>
      <c r="AT124" s="4"/>
      <c r="AV124" s="131">
        <f t="shared" si="256"/>
        <v>0</v>
      </c>
      <c r="AW124" s="100">
        <f t="shared" si="257"/>
        <v>0</v>
      </c>
      <c r="AX124" s="100">
        <f t="shared" si="258"/>
        <v>113845.71375</v>
      </c>
      <c r="AY124" s="100">
        <f t="shared" si="259"/>
        <v>0</v>
      </c>
      <c r="AZ124" s="100">
        <f t="shared" si="260"/>
        <v>0</v>
      </c>
      <c r="BA124" s="100">
        <f t="shared" si="261"/>
        <v>0</v>
      </c>
      <c r="BB124" s="100">
        <f t="shared" si="262"/>
        <v>0</v>
      </c>
      <c r="BC124" s="100">
        <f t="shared" si="263"/>
        <v>0</v>
      </c>
      <c r="BE124" s="96">
        <f t="shared" si="372"/>
        <v>113845.71375</v>
      </c>
      <c r="BG124" t="str">
        <f t="shared" si="297"/>
        <v>M&amp;E_Regular analysis of AQ data_SCC</v>
      </c>
      <c r="BJ124" s="133">
        <f t="shared" si="213"/>
        <v>0</v>
      </c>
      <c r="BK124" s="133">
        <f t="shared" si="214"/>
        <v>0</v>
      </c>
      <c r="BL124" s="133">
        <f t="shared" si="215"/>
        <v>0</v>
      </c>
      <c r="BM124" s="133">
        <f t="shared" si="216"/>
        <v>0</v>
      </c>
      <c r="BN124" s="133">
        <f t="shared" si="217"/>
        <v>0</v>
      </c>
      <c r="BO124" s="133">
        <f t="shared" si="218"/>
        <v>0</v>
      </c>
      <c r="BP124" s="133">
        <f t="shared" si="219"/>
        <v>0</v>
      </c>
      <c r="BR124" s="815"/>
    </row>
    <row r="125" spans="1:70" ht="15" customHeight="1" x14ac:dyDescent="0.25">
      <c r="A125" s="64">
        <v>10</v>
      </c>
      <c r="B125" s="60" t="s">
        <v>31</v>
      </c>
      <c r="C125" s="27" t="s">
        <v>43</v>
      </c>
      <c r="D125" s="27" t="s">
        <v>38</v>
      </c>
      <c r="E125" s="27" t="str">
        <f t="shared" si="31"/>
        <v>M&amp;E_Regular analysis of AQ data_RMBC</v>
      </c>
      <c r="F125" s="27" t="str">
        <f t="shared" si="265"/>
        <v>M&amp;E_RMBC</v>
      </c>
      <c r="G125" s="37" t="s">
        <v>524</v>
      </c>
      <c r="H125" s="331" t="str">
        <f t="shared" si="208"/>
        <v>M&amp;E_RMBC_opex</v>
      </c>
      <c r="I125" s="331">
        <v>119</v>
      </c>
      <c r="J125" s="4">
        <f t="shared" si="296"/>
        <v>120000</v>
      </c>
      <c r="K125" s="27"/>
      <c r="L125" s="62">
        <f>4*CALC_Current_option!$C$286</f>
        <v>30000</v>
      </c>
      <c r="M125" s="62">
        <f>4*CALC_Current_option!$C$286</f>
        <v>30000</v>
      </c>
      <c r="N125" s="62">
        <f>4*CALC_Current_option!$C$286</f>
        <v>30000</v>
      </c>
      <c r="O125" s="62">
        <f>4*CALC_Current_option!$C$286</f>
        <v>30000</v>
      </c>
      <c r="P125" s="62"/>
      <c r="Q125" s="62"/>
      <c r="R125" s="62"/>
      <c r="S125" s="62">
        <f t="shared" si="286"/>
        <v>120000</v>
      </c>
      <c r="T125" s="67">
        <f t="shared" si="363"/>
        <v>113845.71375</v>
      </c>
      <c r="U125" s="62"/>
      <c r="W125" s="13"/>
      <c r="X125" s="14"/>
      <c r="Y125" s="653">
        <v>1</v>
      </c>
      <c r="Z125" s="14"/>
      <c r="AA125" s="14"/>
      <c r="AB125" s="14"/>
      <c r="AC125" s="14"/>
      <c r="AD125" s="15"/>
      <c r="AE125" s="32"/>
      <c r="AF125" s="32"/>
      <c r="AH125" s="284">
        <f t="shared" si="210"/>
        <v>119</v>
      </c>
      <c r="AI125" s="90">
        <f t="shared" si="364"/>
        <v>0</v>
      </c>
      <c r="AJ125" s="91">
        <f t="shared" si="365"/>
        <v>0</v>
      </c>
      <c r="AK125" s="91">
        <f t="shared" si="366"/>
        <v>120000</v>
      </c>
      <c r="AL125" s="91">
        <f t="shared" si="367"/>
        <v>0</v>
      </c>
      <c r="AM125" s="91">
        <f t="shared" si="368"/>
        <v>0</v>
      </c>
      <c r="AN125" s="91">
        <f t="shared" si="369"/>
        <v>0</v>
      </c>
      <c r="AO125" s="91">
        <f t="shared" si="370"/>
        <v>0</v>
      </c>
      <c r="AP125" s="50">
        <f t="shared" si="371"/>
        <v>0</v>
      </c>
      <c r="AQ125" s="770"/>
      <c r="AR125" s="4">
        <f t="shared" si="255"/>
        <v>120000</v>
      </c>
      <c r="AT125" s="4"/>
      <c r="AV125" s="131">
        <f t="shared" si="256"/>
        <v>0</v>
      </c>
      <c r="AW125" s="100">
        <f t="shared" si="257"/>
        <v>0</v>
      </c>
      <c r="AX125" s="100">
        <f t="shared" si="258"/>
        <v>113845.71375</v>
      </c>
      <c r="AY125" s="100">
        <f t="shared" si="259"/>
        <v>0</v>
      </c>
      <c r="AZ125" s="100">
        <f t="shared" si="260"/>
        <v>0</v>
      </c>
      <c r="BA125" s="100">
        <f t="shared" si="261"/>
        <v>0</v>
      </c>
      <c r="BB125" s="100">
        <f t="shared" si="262"/>
        <v>0</v>
      </c>
      <c r="BC125" s="100">
        <f t="shared" si="263"/>
        <v>0</v>
      </c>
      <c r="BE125" s="96">
        <f t="shared" si="372"/>
        <v>113845.71375</v>
      </c>
      <c r="BG125" t="str">
        <f t="shared" si="297"/>
        <v>M&amp;E_Regular analysis of AQ data_RMBC</v>
      </c>
      <c r="BJ125" s="133">
        <f t="shared" si="213"/>
        <v>0</v>
      </c>
      <c r="BK125" s="133">
        <f t="shared" si="214"/>
        <v>0</v>
      </c>
      <c r="BL125" s="133">
        <f t="shared" si="215"/>
        <v>0</v>
      </c>
      <c r="BM125" s="133">
        <f t="shared" si="216"/>
        <v>0</v>
      </c>
      <c r="BN125" s="133">
        <f t="shared" si="217"/>
        <v>0</v>
      </c>
      <c r="BO125" s="133">
        <f t="shared" si="218"/>
        <v>0</v>
      </c>
      <c r="BP125" s="133">
        <f t="shared" si="219"/>
        <v>0</v>
      </c>
      <c r="BR125" s="815"/>
    </row>
    <row r="126" spans="1:70" ht="30" customHeight="1" x14ac:dyDescent="0.25">
      <c r="A126" s="64">
        <v>11</v>
      </c>
      <c r="B126" s="60" t="s">
        <v>31</v>
      </c>
      <c r="C126" s="27" t="s">
        <v>16</v>
      </c>
      <c r="D126" s="27" t="s">
        <v>37</v>
      </c>
      <c r="E126" s="27" t="str">
        <f t="shared" si="31"/>
        <v>M&amp;E_Campaign Awareness Research_SCC</v>
      </c>
      <c r="F126" s="27" t="str">
        <f t="shared" si="265"/>
        <v>M&amp;E_SCC</v>
      </c>
      <c r="G126" s="37" t="s">
        <v>523</v>
      </c>
      <c r="H126" s="331" t="str">
        <f t="shared" si="208"/>
        <v>M&amp;E_SCC_capex</v>
      </c>
      <c r="I126" s="331">
        <v>120</v>
      </c>
      <c r="J126" s="4">
        <f t="shared" si="296"/>
        <v>80000</v>
      </c>
      <c r="K126" s="27"/>
      <c r="L126" s="62"/>
      <c r="M126" s="62"/>
      <c r="N126" s="62">
        <f>CALC_Current_option!$C$287</f>
        <v>80000</v>
      </c>
      <c r="O126" s="62"/>
      <c r="P126" s="62"/>
      <c r="Q126" s="62"/>
      <c r="R126" s="62"/>
      <c r="S126" s="62">
        <f t="shared" si="286"/>
        <v>80000</v>
      </c>
      <c r="T126" s="67">
        <f t="shared" si="363"/>
        <v>74498</v>
      </c>
      <c r="U126" s="62"/>
      <c r="W126" s="13"/>
      <c r="X126" s="14"/>
      <c r="Y126" s="653">
        <v>1</v>
      </c>
      <c r="Z126" s="14"/>
      <c r="AA126" s="14"/>
      <c r="AB126" s="14"/>
      <c r="AC126" s="14"/>
      <c r="AD126" s="15"/>
      <c r="AE126" s="32"/>
      <c r="AF126" s="32"/>
      <c r="AH126" s="284">
        <f t="shared" si="210"/>
        <v>120</v>
      </c>
      <c r="AI126" s="90">
        <f t="shared" si="364"/>
        <v>0</v>
      </c>
      <c r="AJ126" s="91">
        <f t="shared" si="365"/>
        <v>0</v>
      </c>
      <c r="AK126" s="91">
        <f t="shared" si="366"/>
        <v>80000</v>
      </c>
      <c r="AL126" s="91">
        <f t="shared" si="367"/>
        <v>0</v>
      </c>
      <c r="AM126" s="91">
        <f t="shared" si="368"/>
        <v>0</v>
      </c>
      <c r="AN126" s="91">
        <f t="shared" si="369"/>
        <v>0</v>
      </c>
      <c r="AO126" s="91">
        <f t="shared" si="370"/>
        <v>0</v>
      </c>
      <c r="AP126" s="50">
        <f t="shared" si="371"/>
        <v>0</v>
      </c>
      <c r="AQ126" s="770"/>
      <c r="AR126" s="4">
        <f t="shared" si="255"/>
        <v>80000</v>
      </c>
      <c r="AT126" s="4"/>
      <c r="AV126" s="131">
        <f t="shared" si="256"/>
        <v>0</v>
      </c>
      <c r="AW126" s="100">
        <f t="shared" si="257"/>
        <v>0</v>
      </c>
      <c r="AX126" s="100">
        <f t="shared" si="258"/>
        <v>74498</v>
      </c>
      <c r="AY126" s="100">
        <f t="shared" si="259"/>
        <v>0</v>
      </c>
      <c r="AZ126" s="100">
        <f t="shared" si="260"/>
        <v>0</v>
      </c>
      <c r="BA126" s="100">
        <f t="shared" si="261"/>
        <v>0</v>
      </c>
      <c r="BB126" s="100">
        <f t="shared" si="262"/>
        <v>0</v>
      </c>
      <c r="BC126" s="100">
        <f t="shared" si="263"/>
        <v>0</v>
      </c>
      <c r="BE126" s="96">
        <f t="shared" si="372"/>
        <v>74498</v>
      </c>
      <c r="BG126" t="str">
        <f t="shared" si="297"/>
        <v>M&amp;E_Campaign Awareness Research_SCC</v>
      </c>
      <c r="BJ126" s="133">
        <f t="shared" si="213"/>
        <v>0</v>
      </c>
      <c r="BK126" s="133">
        <f t="shared" si="214"/>
        <v>0</v>
      </c>
      <c r="BL126" s="133">
        <f t="shared" si="215"/>
        <v>0</v>
      </c>
      <c r="BM126" s="133">
        <f t="shared" si="216"/>
        <v>0</v>
      </c>
      <c r="BN126" s="133">
        <f t="shared" si="217"/>
        <v>0</v>
      </c>
      <c r="BO126" s="133">
        <f t="shared" si="218"/>
        <v>0</v>
      </c>
      <c r="BP126" s="133">
        <f t="shared" si="219"/>
        <v>0</v>
      </c>
      <c r="BR126" s="815"/>
    </row>
    <row r="127" spans="1:70" ht="30.75" customHeight="1" thickBot="1" x14ac:dyDescent="0.3">
      <c r="A127" s="64">
        <v>12</v>
      </c>
      <c r="B127" s="60" t="s">
        <v>31</v>
      </c>
      <c r="C127" s="27" t="s">
        <v>17</v>
      </c>
      <c r="D127" s="27" t="s">
        <v>37</v>
      </c>
      <c r="E127" s="27" t="str">
        <f t="shared" si="31"/>
        <v>M&amp;E_Behavioural Change Monitoring/Evaluation_SCC</v>
      </c>
      <c r="F127" s="27" t="str">
        <f t="shared" si="265"/>
        <v>M&amp;E_SCC</v>
      </c>
      <c r="G127" s="37" t="s">
        <v>523</v>
      </c>
      <c r="H127" s="331" t="str">
        <f t="shared" si="208"/>
        <v>M&amp;E_SCC_capex</v>
      </c>
      <c r="I127" s="331">
        <v>121</v>
      </c>
      <c r="J127" s="4">
        <f t="shared" si="296"/>
        <v>80000</v>
      </c>
      <c r="K127" s="27"/>
      <c r="L127" s="62"/>
      <c r="M127" s="62"/>
      <c r="N127" s="62"/>
      <c r="O127" s="62">
        <f>CALC_Current_option!$C$288</f>
        <v>80000</v>
      </c>
      <c r="P127" s="62"/>
      <c r="Q127" s="62"/>
      <c r="R127" s="62"/>
      <c r="S127" s="62">
        <f t="shared" si="286"/>
        <v>80000</v>
      </c>
      <c r="T127" s="67">
        <f t="shared" si="363"/>
        <v>71890.569999999992</v>
      </c>
      <c r="U127" s="62"/>
      <c r="W127" s="16"/>
      <c r="X127" s="17"/>
      <c r="Y127" s="654">
        <v>1</v>
      </c>
      <c r="Z127" s="17"/>
      <c r="AA127" s="17"/>
      <c r="AB127" s="17"/>
      <c r="AC127" s="17"/>
      <c r="AD127" s="18"/>
      <c r="AE127" s="32"/>
      <c r="AF127" s="32"/>
      <c r="AH127" s="284">
        <f t="shared" si="210"/>
        <v>121</v>
      </c>
      <c r="AI127" s="90">
        <f t="shared" si="364"/>
        <v>0</v>
      </c>
      <c r="AJ127" s="91">
        <f t="shared" si="365"/>
        <v>0</v>
      </c>
      <c r="AK127" s="91">
        <f t="shared" si="366"/>
        <v>80000</v>
      </c>
      <c r="AL127" s="91">
        <f t="shared" si="367"/>
        <v>0</v>
      </c>
      <c r="AM127" s="91">
        <f t="shared" si="368"/>
        <v>0</v>
      </c>
      <c r="AN127" s="91">
        <f t="shared" si="369"/>
        <v>0</v>
      </c>
      <c r="AO127" s="91">
        <f t="shared" si="370"/>
        <v>0</v>
      </c>
      <c r="AP127" s="50">
        <f t="shared" si="371"/>
        <v>0</v>
      </c>
      <c r="AQ127" s="770"/>
      <c r="AR127" s="4">
        <f t="shared" si="255"/>
        <v>80000</v>
      </c>
      <c r="AT127" s="4"/>
      <c r="AV127" s="131">
        <f t="shared" si="256"/>
        <v>0</v>
      </c>
      <c r="AW127" s="100">
        <f t="shared" si="257"/>
        <v>0</v>
      </c>
      <c r="AX127" s="100">
        <f t="shared" si="258"/>
        <v>71890.569999999992</v>
      </c>
      <c r="AY127" s="100">
        <f t="shared" si="259"/>
        <v>0</v>
      </c>
      <c r="AZ127" s="100">
        <f t="shared" si="260"/>
        <v>0</v>
      </c>
      <c r="BA127" s="100">
        <f t="shared" si="261"/>
        <v>0</v>
      </c>
      <c r="BB127" s="100">
        <f t="shared" si="262"/>
        <v>0</v>
      </c>
      <c r="BC127" s="100">
        <f t="shared" si="263"/>
        <v>0</v>
      </c>
      <c r="BE127" s="96">
        <f t="shared" si="372"/>
        <v>71890.569999999992</v>
      </c>
      <c r="BG127" t="str">
        <f t="shared" si="297"/>
        <v>M&amp;E_Behavioural Change Monitoring/Evaluation_SCC</v>
      </c>
      <c r="BJ127" s="133">
        <f t="shared" si="213"/>
        <v>0</v>
      </c>
      <c r="BK127" s="133">
        <f t="shared" si="214"/>
        <v>0</v>
      </c>
      <c r="BL127" s="133">
        <f t="shared" si="215"/>
        <v>0</v>
      </c>
      <c r="BM127" s="133">
        <f t="shared" si="216"/>
        <v>0</v>
      </c>
      <c r="BN127" s="133">
        <f t="shared" si="217"/>
        <v>0</v>
      </c>
      <c r="BO127" s="133">
        <f t="shared" si="218"/>
        <v>0</v>
      </c>
      <c r="BP127" s="133">
        <f t="shared" si="219"/>
        <v>0</v>
      </c>
      <c r="BR127" s="815"/>
    </row>
    <row r="128" spans="1:70" ht="15" customHeight="1" x14ac:dyDescent="0.25">
      <c r="A128" s="66"/>
      <c r="B128" s="60"/>
      <c r="C128" s="27"/>
      <c r="D128" s="27"/>
      <c r="E128" s="27"/>
      <c r="F128" s="27"/>
      <c r="G128" s="332"/>
      <c r="H128" s="333"/>
      <c r="I128" s="331">
        <v>122</v>
      </c>
      <c r="J128" s="4">
        <f t="shared" ref="J128:J146" si="415">SUM(AI128:AP128)-AO128-AP128</f>
        <v>0</v>
      </c>
      <c r="K128" s="27"/>
      <c r="L128" s="60"/>
      <c r="M128" s="60"/>
      <c r="N128" s="60"/>
      <c r="O128" s="60"/>
      <c r="P128" s="60"/>
      <c r="Q128" s="60"/>
      <c r="R128" s="60"/>
      <c r="S128" s="62"/>
      <c r="T128" s="125"/>
      <c r="U128" s="60"/>
      <c r="AH128" s="284">
        <f t="shared" si="210"/>
        <v>122</v>
      </c>
      <c r="AI128" s="90"/>
      <c r="AJ128" s="91"/>
      <c r="AK128" s="91"/>
      <c r="AL128" s="91"/>
      <c r="AM128" s="91"/>
      <c r="AN128" s="91"/>
      <c r="AO128" s="91"/>
      <c r="AP128" s="50"/>
      <c r="AQ128" s="770"/>
      <c r="AR128" s="4"/>
      <c r="AT128" s="4"/>
      <c r="AV128" s="131">
        <f t="shared" si="256"/>
        <v>0</v>
      </c>
      <c r="AW128" s="100">
        <f t="shared" si="257"/>
        <v>0</v>
      </c>
      <c r="AX128" s="100">
        <f t="shared" si="258"/>
        <v>0</v>
      </c>
      <c r="AY128" s="100">
        <f t="shared" si="259"/>
        <v>0</v>
      </c>
      <c r="AZ128" s="100">
        <f t="shared" si="260"/>
        <v>0</v>
      </c>
      <c r="BA128" s="100">
        <f t="shared" si="261"/>
        <v>0</v>
      </c>
      <c r="BB128" s="100">
        <f t="shared" si="262"/>
        <v>0</v>
      </c>
      <c r="BC128" s="100">
        <f t="shared" si="263"/>
        <v>0</v>
      </c>
      <c r="BE128" s="96">
        <f t="shared" si="372"/>
        <v>0</v>
      </c>
      <c r="BJ128" s="133"/>
      <c r="BK128" s="133"/>
      <c r="BL128" s="133"/>
      <c r="BM128" s="133"/>
      <c r="BN128" s="133"/>
      <c r="BO128" s="133"/>
      <c r="BP128" s="133"/>
      <c r="BR128" s="815"/>
    </row>
    <row r="129" spans="1:70" ht="15" customHeight="1" x14ac:dyDescent="0.25">
      <c r="A129" s="66"/>
      <c r="B129" s="120" t="s">
        <v>340</v>
      </c>
      <c r="C129" s="27"/>
      <c r="D129" s="27"/>
      <c r="E129" s="27"/>
      <c r="F129" s="27"/>
      <c r="G129" s="332"/>
      <c r="H129" s="333"/>
      <c r="I129" s="331">
        <v>123</v>
      </c>
      <c r="J129" s="4">
        <f t="shared" si="415"/>
        <v>0</v>
      </c>
      <c r="K129" s="27"/>
      <c r="L129" s="60"/>
      <c r="M129" s="60"/>
      <c r="N129" s="60"/>
      <c r="O129" s="60"/>
      <c r="P129" s="60"/>
      <c r="Q129" s="60"/>
      <c r="R129" s="60"/>
      <c r="S129" s="62"/>
      <c r="T129" s="125"/>
      <c r="U129" s="60"/>
      <c r="AH129" s="284">
        <f t="shared" si="210"/>
        <v>123</v>
      </c>
      <c r="AI129" s="90"/>
      <c r="AJ129" s="91"/>
      <c r="AK129" s="91"/>
      <c r="AL129" s="91"/>
      <c r="AM129" s="91"/>
      <c r="AN129" s="91"/>
      <c r="AO129" s="91"/>
      <c r="AP129" s="50"/>
      <c r="AQ129" s="770"/>
      <c r="AR129" s="4"/>
      <c r="AT129" s="4"/>
      <c r="AV129" s="131">
        <f t="shared" si="256"/>
        <v>0</v>
      </c>
      <c r="AW129" s="100">
        <f t="shared" si="257"/>
        <v>0</v>
      </c>
      <c r="AX129" s="100">
        <f t="shared" si="258"/>
        <v>0</v>
      </c>
      <c r="AY129" s="100">
        <f t="shared" si="259"/>
        <v>0</v>
      </c>
      <c r="AZ129" s="100">
        <f t="shared" si="260"/>
        <v>0</v>
      </c>
      <c r="BA129" s="100">
        <f t="shared" si="261"/>
        <v>0</v>
      </c>
      <c r="BB129" s="100">
        <f t="shared" si="262"/>
        <v>0</v>
      </c>
      <c r="BC129" s="100">
        <f t="shared" si="263"/>
        <v>0</v>
      </c>
      <c r="BE129" s="96">
        <f t="shared" si="372"/>
        <v>0</v>
      </c>
      <c r="BJ129" s="133"/>
      <c r="BK129" s="133"/>
      <c r="BL129" s="133"/>
      <c r="BM129" s="133"/>
      <c r="BN129" s="133"/>
      <c r="BO129" s="133"/>
      <c r="BP129" s="133"/>
      <c r="BR129" s="815"/>
    </row>
    <row r="130" spans="1:70" ht="30" customHeight="1" thickBot="1" x14ac:dyDescent="0.3">
      <c r="A130" s="66">
        <v>1</v>
      </c>
      <c r="B130" s="126" t="s">
        <v>340</v>
      </c>
      <c r="C130" s="27" t="str">
        <f>CALC_Current_option!B293</f>
        <v>Grant Management - EMF</v>
      </c>
      <c r="D130" s="27" t="s">
        <v>37</v>
      </c>
      <c r="E130" s="27" t="str">
        <f t="shared" si="31"/>
        <v>Finance &amp; Management_Grant Management - EMF_SCC</v>
      </c>
      <c r="F130" s="27" t="str">
        <f t="shared" si="265"/>
        <v>Finance &amp; Management_SCC</v>
      </c>
      <c r="G130" s="37" t="s">
        <v>524</v>
      </c>
      <c r="H130" s="331" t="str">
        <f t="shared" si="208"/>
        <v>Finance &amp; Management_SCC_opex</v>
      </c>
      <c r="I130" s="331">
        <v>124</v>
      </c>
      <c r="J130" s="4">
        <f t="shared" si="415"/>
        <v>3100</v>
      </c>
      <c r="K130" s="27"/>
      <c r="L130" s="62">
        <f>CALC_Current_option!C293</f>
        <v>3100</v>
      </c>
      <c r="M130" s="60"/>
      <c r="N130" s="60"/>
      <c r="O130" s="60"/>
      <c r="P130" s="60"/>
      <c r="Q130" s="60"/>
      <c r="R130" s="60"/>
      <c r="S130" s="62">
        <f t="shared" si="286"/>
        <v>3100</v>
      </c>
      <c r="T130" s="67">
        <f t="shared" ref="T130" si="416">SUMPRODUCT(L130:R130,$L$3:$R$3)</f>
        <v>3100</v>
      </c>
      <c r="U130" s="62"/>
      <c r="W130" s="653">
        <v>1</v>
      </c>
      <c r="X130" s="14">
        <v>0</v>
      </c>
      <c r="Y130" s="14"/>
      <c r="Z130" s="14"/>
      <c r="AA130" s="14"/>
      <c r="AB130" s="14"/>
      <c r="AC130" s="14"/>
      <c r="AD130" s="14"/>
      <c r="AE130" s="32"/>
      <c r="AF130" s="32"/>
      <c r="AH130" s="284">
        <f t="shared" si="210"/>
        <v>124</v>
      </c>
      <c r="AI130" s="90">
        <f t="shared" ref="AI130:AP130" si="417">$S130*W130</f>
        <v>3100</v>
      </c>
      <c r="AJ130" s="91">
        <f t="shared" si="417"/>
        <v>0</v>
      </c>
      <c r="AK130" s="91">
        <f t="shared" si="417"/>
        <v>0</v>
      </c>
      <c r="AL130" s="91">
        <f t="shared" si="417"/>
        <v>0</v>
      </c>
      <c r="AM130" s="91">
        <f t="shared" si="417"/>
        <v>0</v>
      </c>
      <c r="AN130" s="91">
        <f t="shared" si="417"/>
        <v>0</v>
      </c>
      <c r="AO130" s="91">
        <f t="shared" si="417"/>
        <v>0</v>
      </c>
      <c r="AP130" s="50">
        <f t="shared" si="417"/>
        <v>0</v>
      </c>
      <c r="AQ130" s="770"/>
      <c r="AR130" s="4">
        <f t="shared" si="255"/>
        <v>3100</v>
      </c>
      <c r="AT130" s="4"/>
      <c r="AV130" s="131">
        <f t="shared" si="256"/>
        <v>3100</v>
      </c>
      <c r="AW130" s="100">
        <f t="shared" si="257"/>
        <v>0</v>
      </c>
      <c r="AX130" s="100">
        <f t="shared" si="258"/>
        <v>0</v>
      </c>
      <c r="AY130" s="100">
        <f t="shared" si="259"/>
        <v>0</v>
      </c>
      <c r="AZ130" s="100">
        <f t="shared" si="260"/>
        <v>0</v>
      </c>
      <c r="BA130" s="100">
        <f t="shared" si="261"/>
        <v>0</v>
      </c>
      <c r="BB130" s="100">
        <f t="shared" si="262"/>
        <v>0</v>
      </c>
      <c r="BC130" s="100">
        <f t="shared" si="263"/>
        <v>0</v>
      </c>
      <c r="BE130" s="96">
        <f t="shared" si="372"/>
        <v>3100</v>
      </c>
      <c r="BG130" t="str">
        <f>E130</f>
        <v>Finance &amp; Management_Grant Management - EMF_SCC</v>
      </c>
      <c r="BJ130" s="133">
        <f t="shared" si="213"/>
        <v>0</v>
      </c>
      <c r="BK130" s="133">
        <f t="shared" si="214"/>
        <v>0</v>
      </c>
      <c r="BL130" s="133">
        <f t="shared" si="215"/>
        <v>0</v>
      </c>
      <c r="BM130" s="133">
        <f t="shared" si="216"/>
        <v>0</v>
      </c>
      <c r="BN130" s="133">
        <f t="shared" si="217"/>
        <v>0</v>
      </c>
      <c r="BO130" s="133">
        <f t="shared" si="218"/>
        <v>0</v>
      </c>
      <c r="BP130" s="133">
        <f t="shared" si="219"/>
        <v>0</v>
      </c>
      <c r="BR130" s="815"/>
    </row>
    <row r="131" spans="1:70" ht="15.75" customHeight="1" thickBot="1" x14ac:dyDescent="0.3">
      <c r="A131" s="66"/>
      <c r="B131" s="126"/>
      <c r="C131" s="27"/>
      <c r="D131" s="27"/>
      <c r="E131" s="27"/>
      <c r="F131" s="27"/>
      <c r="G131" s="23"/>
      <c r="H131" s="331"/>
      <c r="I131" s="331">
        <v>125</v>
      </c>
      <c r="J131" s="4">
        <f t="shared" si="415"/>
        <v>0</v>
      </c>
      <c r="K131" s="27"/>
      <c r="L131" s="276">
        <f>INP_Assumptions!C126</f>
        <v>0.28999999999999998</v>
      </c>
      <c r="M131" s="276">
        <f>INP_Assumptions!D126</f>
        <v>0.56999999999999995</v>
      </c>
      <c r="N131" s="276">
        <f>INP_Assumptions!E126</f>
        <v>0.14000000000000001</v>
      </c>
      <c r="O131" s="276">
        <f>INP_Assumptions!F126</f>
        <v>0</v>
      </c>
      <c r="P131" s="276">
        <f>INP_Assumptions!G126</f>
        <v>0</v>
      </c>
      <c r="Q131" s="276">
        <f>INP_Assumptions!H126</f>
        <v>0</v>
      </c>
      <c r="R131" s="60"/>
      <c r="S131" s="62"/>
      <c r="T131" s="67"/>
      <c r="U131" s="62"/>
      <c r="W131" s="34"/>
      <c r="X131" s="34"/>
      <c r="Y131" s="34"/>
      <c r="Z131" s="34"/>
      <c r="AA131" s="34"/>
      <c r="AB131" s="34"/>
      <c r="AC131" s="34"/>
      <c r="AD131" s="34"/>
      <c r="AE131" s="32"/>
      <c r="AF131" s="32"/>
      <c r="AH131" s="284">
        <f t="shared" si="210"/>
        <v>125</v>
      </c>
      <c r="AI131" s="90"/>
      <c r="AJ131" s="91"/>
      <c r="AK131" s="91"/>
      <c r="AL131" s="91"/>
      <c r="AM131" s="91"/>
      <c r="AN131" s="91"/>
      <c r="AO131" s="91"/>
      <c r="AP131" s="50"/>
      <c r="AQ131" s="770"/>
      <c r="AR131" s="4"/>
      <c r="AT131" s="4"/>
      <c r="AV131" s="131">
        <f t="shared" si="256"/>
        <v>0</v>
      </c>
      <c r="AW131" s="100">
        <f t="shared" si="257"/>
        <v>0</v>
      </c>
      <c r="AX131" s="100">
        <f t="shared" si="258"/>
        <v>0</v>
      </c>
      <c r="AY131" s="100">
        <f t="shared" si="259"/>
        <v>0</v>
      </c>
      <c r="AZ131" s="100">
        <f t="shared" si="260"/>
        <v>0</v>
      </c>
      <c r="BA131" s="100">
        <f t="shared" si="261"/>
        <v>0</v>
      </c>
      <c r="BB131" s="100">
        <f t="shared" si="262"/>
        <v>0</v>
      </c>
      <c r="BC131" s="100">
        <f t="shared" si="263"/>
        <v>0</v>
      </c>
      <c r="BE131" s="96">
        <f t="shared" si="372"/>
        <v>0</v>
      </c>
      <c r="BJ131" s="133">
        <f t="shared" si="213"/>
        <v>0</v>
      </c>
      <c r="BK131" s="133">
        <f t="shared" si="214"/>
        <v>0</v>
      </c>
      <c r="BL131" s="133">
        <f t="shared" si="215"/>
        <v>0</v>
      </c>
      <c r="BM131" s="133">
        <f t="shared" si="216"/>
        <v>0</v>
      </c>
      <c r="BN131" s="133">
        <f t="shared" si="217"/>
        <v>0</v>
      </c>
      <c r="BO131" s="133">
        <f t="shared" si="218"/>
        <v>0</v>
      </c>
      <c r="BP131" s="133">
        <f t="shared" si="219"/>
        <v>0</v>
      </c>
      <c r="BR131" s="815"/>
    </row>
    <row r="132" spans="1:70" ht="43.5" customHeight="1" x14ac:dyDescent="0.25">
      <c r="A132" s="66">
        <v>2</v>
      </c>
      <c r="B132" s="126" t="s">
        <v>340</v>
      </c>
      <c r="C132" s="124" t="s">
        <v>229</v>
      </c>
      <c r="D132" s="27" t="s">
        <v>37</v>
      </c>
      <c r="E132" s="27" t="str">
        <f t="shared" si="31"/>
        <v>Finance &amp; Management_Managing the Various Incentive Programs_SCC</v>
      </c>
      <c r="F132" s="27" t="str">
        <f t="shared" si="265"/>
        <v>Finance &amp; Management_SCC</v>
      </c>
      <c r="G132" s="330" t="s">
        <v>524</v>
      </c>
      <c r="H132" s="331" t="str">
        <f t="shared" si="208"/>
        <v>Finance &amp; Management_SCC_opex</v>
      </c>
      <c r="I132" s="331">
        <v>126</v>
      </c>
      <c r="J132" s="4">
        <f t="shared" si="415"/>
        <v>188249.99999999997</v>
      </c>
      <c r="K132" s="27"/>
      <c r="L132" s="62">
        <f>CALC_Current_option!$C$295*L$131</f>
        <v>54592.499999999993</v>
      </c>
      <c r="M132" s="62">
        <f>CALC_Current_option!$C$295*M$131</f>
        <v>107302.49999999999</v>
      </c>
      <c r="N132" s="62">
        <f>CALC_Current_option!$C$295*N$131</f>
        <v>26355.000000000004</v>
      </c>
      <c r="O132" s="62">
        <f>CALC_Current_option!$C$295*O$131</f>
        <v>0</v>
      </c>
      <c r="P132" s="62">
        <f>CALC_Current_option!$C$295*P$131</f>
        <v>0</v>
      </c>
      <c r="Q132" s="62">
        <f>CALC_Current_option!$C$295*Q$131</f>
        <v>0</v>
      </c>
      <c r="R132" s="60"/>
      <c r="S132" s="62">
        <f t="shared" si="286"/>
        <v>188249.99999999997</v>
      </c>
      <c r="T132" s="67">
        <f t="shared" ref="T132:T133" si="418">SUMPRODUCT(L132:R132,$L$3:$R$3)</f>
        <v>182681.84737499998</v>
      </c>
      <c r="U132" s="62"/>
      <c r="W132" s="14"/>
      <c r="X132" s="14"/>
      <c r="Y132" s="14"/>
      <c r="Z132" s="653">
        <v>1</v>
      </c>
      <c r="AA132" s="14"/>
      <c r="AB132" s="14"/>
      <c r="AC132" s="14"/>
      <c r="AD132" s="14"/>
      <c r="AE132" s="32"/>
      <c r="AF132" s="32"/>
      <c r="AH132" s="284">
        <f t="shared" si="210"/>
        <v>126</v>
      </c>
      <c r="AI132" s="90">
        <f t="shared" ref="AI132:AI144" si="419">$S132*W132</f>
        <v>0</v>
      </c>
      <c r="AJ132" s="91">
        <f t="shared" ref="AJ132:AJ144" si="420">$S132*X132</f>
        <v>0</v>
      </c>
      <c r="AK132" s="91">
        <f t="shared" ref="AK132:AK144" si="421">$S132*Y132</f>
        <v>0</v>
      </c>
      <c r="AL132" s="91">
        <f t="shared" ref="AL132:AL144" si="422">$S132*Z132</f>
        <v>188249.99999999997</v>
      </c>
      <c r="AM132" s="91">
        <f t="shared" ref="AM132:AM144" si="423">$S132*AA132</f>
        <v>0</v>
      </c>
      <c r="AN132" s="91">
        <f t="shared" ref="AN132:AN144" si="424">$S132*AB132</f>
        <v>0</v>
      </c>
      <c r="AO132" s="91">
        <f t="shared" ref="AO132:AO144" si="425">$S132*AC132</f>
        <v>0</v>
      </c>
      <c r="AP132" s="50">
        <f t="shared" ref="AP132:AP144" si="426">$S132*AD132</f>
        <v>0</v>
      </c>
      <c r="AQ132" s="770"/>
      <c r="AR132" s="4">
        <f t="shared" si="255"/>
        <v>188249.99999999997</v>
      </c>
      <c r="AT132" s="4"/>
      <c r="AV132" s="131">
        <f t="shared" si="256"/>
        <v>0</v>
      </c>
      <c r="AW132" s="100">
        <f t="shared" si="257"/>
        <v>0</v>
      </c>
      <c r="AX132" s="100">
        <f t="shared" si="258"/>
        <v>0</v>
      </c>
      <c r="AY132" s="100">
        <f t="shared" si="259"/>
        <v>182681.84737499998</v>
      </c>
      <c r="AZ132" s="100">
        <f t="shared" si="260"/>
        <v>0</v>
      </c>
      <c r="BA132" s="100">
        <f t="shared" si="261"/>
        <v>0</v>
      </c>
      <c r="BB132" s="100">
        <f t="shared" si="262"/>
        <v>0</v>
      </c>
      <c r="BC132" s="100">
        <f t="shared" si="263"/>
        <v>0</v>
      </c>
      <c r="BE132" s="96">
        <f t="shared" si="372"/>
        <v>182681.84737499998</v>
      </c>
      <c r="BG132" t="str">
        <f t="shared" ref="BG132:BG146" si="427">E132</f>
        <v>Finance &amp; Management_Managing the Various Incentive Programs_SCC</v>
      </c>
      <c r="BJ132" s="133">
        <f t="shared" si="213"/>
        <v>0</v>
      </c>
      <c r="BK132" s="133">
        <f t="shared" si="214"/>
        <v>0</v>
      </c>
      <c r="BL132" s="133">
        <f t="shared" si="215"/>
        <v>0</v>
      </c>
      <c r="BM132" s="133">
        <f t="shared" si="216"/>
        <v>0</v>
      </c>
      <c r="BN132" s="133">
        <f t="shared" si="217"/>
        <v>0</v>
      </c>
      <c r="BO132" s="133">
        <f t="shared" si="218"/>
        <v>0</v>
      </c>
      <c r="BP132" s="133">
        <f t="shared" si="219"/>
        <v>0</v>
      </c>
      <c r="BR132" s="815"/>
    </row>
    <row r="133" spans="1:70" ht="45.75" customHeight="1" x14ac:dyDescent="0.25">
      <c r="A133" s="66">
        <v>3</v>
      </c>
      <c r="B133" s="126" t="s">
        <v>340</v>
      </c>
      <c r="C133" s="124" t="s">
        <v>229</v>
      </c>
      <c r="D133" s="27" t="s">
        <v>38</v>
      </c>
      <c r="E133" s="27" t="str">
        <f t="shared" si="31"/>
        <v>Finance &amp; Management_Managing the Various Incentive Programs_RMBC</v>
      </c>
      <c r="F133" s="27" t="str">
        <f t="shared" si="265"/>
        <v>Finance &amp; Management_RMBC</v>
      </c>
      <c r="G133" s="330" t="s">
        <v>524</v>
      </c>
      <c r="H133" s="331" t="str">
        <f t="shared" si="208"/>
        <v>Finance &amp; Management_RMBC_opex</v>
      </c>
      <c r="I133" s="331">
        <v>127</v>
      </c>
      <c r="J133" s="4">
        <f t="shared" si="415"/>
        <v>5824.9999999999991</v>
      </c>
      <c r="K133" s="27"/>
      <c r="L133" s="62">
        <f>CALC_Current_option!$C$296*L$131</f>
        <v>1689.2499999999998</v>
      </c>
      <c r="M133" s="62">
        <f>CALC_Current_option!$C$296*M$131</f>
        <v>3320.2499999999995</v>
      </c>
      <c r="N133" s="62">
        <f>CALC_Current_option!$C$296*N$131</f>
        <v>815.50000000000011</v>
      </c>
      <c r="O133" s="62">
        <f>CALC_Current_option!$C$296*O$131</f>
        <v>0</v>
      </c>
      <c r="P133" s="62">
        <f>CALC_Current_option!$C$296*P$131</f>
        <v>0</v>
      </c>
      <c r="Q133" s="62">
        <f>CALC_Current_option!$C$296*Q$131</f>
        <v>0</v>
      </c>
      <c r="R133" s="60"/>
      <c r="S133" s="62">
        <f t="shared" si="286"/>
        <v>5824.9999999999991</v>
      </c>
      <c r="T133" s="67">
        <f t="shared" si="418"/>
        <v>5652.7052374999994</v>
      </c>
      <c r="U133" s="62"/>
      <c r="W133" s="14"/>
      <c r="X133" s="14"/>
      <c r="Y133" s="14"/>
      <c r="Z133" s="653">
        <v>1</v>
      </c>
      <c r="AA133" s="14"/>
      <c r="AB133" s="14"/>
      <c r="AC133" s="14"/>
      <c r="AD133" s="14"/>
      <c r="AE133" s="32"/>
      <c r="AF133" s="32"/>
      <c r="AH133" s="284">
        <f t="shared" si="210"/>
        <v>127</v>
      </c>
      <c r="AI133" s="90">
        <f t="shared" si="419"/>
        <v>0</v>
      </c>
      <c r="AJ133" s="91">
        <f t="shared" si="420"/>
        <v>0</v>
      </c>
      <c r="AK133" s="91">
        <f t="shared" si="421"/>
        <v>0</v>
      </c>
      <c r="AL133" s="91">
        <f t="shared" si="422"/>
        <v>5824.9999999999991</v>
      </c>
      <c r="AM133" s="91">
        <f t="shared" si="423"/>
        <v>0</v>
      </c>
      <c r="AN133" s="91">
        <f t="shared" si="424"/>
        <v>0</v>
      </c>
      <c r="AO133" s="91">
        <f t="shared" si="425"/>
        <v>0</v>
      </c>
      <c r="AP133" s="50">
        <f t="shared" si="426"/>
        <v>0</v>
      </c>
      <c r="AQ133" s="770"/>
      <c r="AR133" s="4">
        <f t="shared" si="255"/>
        <v>5824.9999999999991</v>
      </c>
      <c r="AT133" s="4"/>
      <c r="AV133" s="131">
        <f t="shared" si="256"/>
        <v>0</v>
      </c>
      <c r="AW133" s="100">
        <f t="shared" si="257"/>
        <v>0</v>
      </c>
      <c r="AX133" s="100">
        <f t="shared" si="258"/>
        <v>0</v>
      </c>
      <c r="AY133" s="100">
        <f t="shared" si="259"/>
        <v>5652.7052374999994</v>
      </c>
      <c r="AZ133" s="100">
        <f t="shared" si="260"/>
        <v>0</v>
      </c>
      <c r="BA133" s="100">
        <f t="shared" si="261"/>
        <v>0</v>
      </c>
      <c r="BB133" s="100">
        <f t="shared" si="262"/>
        <v>0</v>
      </c>
      <c r="BC133" s="100">
        <f t="shared" si="263"/>
        <v>0</v>
      </c>
      <c r="BE133" s="96">
        <f t="shared" si="372"/>
        <v>5652.7052374999994</v>
      </c>
      <c r="BG133" t="str">
        <f t="shared" si="427"/>
        <v>Finance &amp; Management_Managing the Various Incentive Programs_RMBC</v>
      </c>
      <c r="BJ133" s="133">
        <f t="shared" si="213"/>
        <v>0</v>
      </c>
      <c r="BK133" s="133">
        <f t="shared" si="214"/>
        <v>0</v>
      </c>
      <c r="BL133" s="133">
        <f t="shared" si="215"/>
        <v>0</v>
      </c>
      <c r="BM133" s="133">
        <f t="shared" si="216"/>
        <v>0</v>
      </c>
      <c r="BN133" s="133">
        <f t="shared" si="217"/>
        <v>0</v>
      </c>
      <c r="BO133" s="133">
        <f t="shared" si="218"/>
        <v>0</v>
      </c>
      <c r="BP133" s="133">
        <f t="shared" si="219"/>
        <v>0</v>
      </c>
      <c r="BR133" s="815"/>
    </row>
    <row r="134" spans="1:70" ht="45.75" customHeight="1" x14ac:dyDescent="0.25">
      <c r="A134" s="66">
        <v>4</v>
      </c>
      <c r="B134" s="126" t="s">
        <v>340</v>
      </c>
      <c r="C134" s="124" t="s">
        <v>344</v>
      </c>
      <c r="D134" s="27" t="s">
        <v>37</v>
      </c>
      <c r="E134" s="27" t="str">
        <f t="shared" si="31"/>
        <v>Finance &amp; Management_Programme Management &amp; Commercial Services_SCC</v>
      </c>
      <c r="F134" s="27" t="str">
        <f t="shared" si="265"/>
        <v>Finance &amp; Management_SCC</v>
      </c>
      <c r="G134" s="330" t="s">
        <v>524</v>
      </c>
      <c r="H134" s="331" t="str">
        <f t="shared" si="208"/>
        <v>Finance &amp; Management_SCC_opex</v>
      </c>
      <c r="I134" s="331">
        <v>128</v>
      </c>
      <c r="J134" s="4">
        <f t="shared" si="415"/>
        <v>1466999.9999999998</v>
      </c>
      <c r="K134" s="27"/>
      <c r="L134" s="52">
        <f>L$131*CALC_Current_option!$C299</f>
        <v>425429.99999999994</v>
      </c>
      <c r="M134" s="52">
        <f>M$131*CALC_Current_option!$C299</f>
        <v>836189.99999999988</v>
      </c>
      <c r="N134" s="52">
        <f>N$131*CALC_Current_option!$C299</f>
        <v>205380.00000000003</v>
      </c>
      <c r="O134" s="60"/>
      <c r="P134" s="60"/>
      <c r="Q134" s="60"/>
      <c r="R134" s="60"/>
      <c r="S134" s="62">
        <f t="shared" ref="S134:S136" si="428">SUM(L134:R134)</f>
        <v>1466999.9999999998</v>
      </c>
      <c r="T134" s="67">
        <f t="shared" ref="T134:T136" si="429">SUMPRODUCT(L134:R134,$L$3:$R$3)</f>
        <v>1423608.3404999999</v>
      </c>
      <c r="U134" s="62"/>
      <c r="W134" s="14"/>
      <c r="X134" s="14"/>
      <c r="Y134" s="653">
        <v>1</v>
      </c>
      <c r="Z134" s="14"/>
      <c r="AA134" s="14"/>
      <c r="AB134" s="14"/>
      <c r="AC134" s="14"/>
      <c r="AD134" s="14"/>
      <c r="AE134" s="32"/>
      <c r="AF134" s="32"/>
      <c r="AH134" s="284">
        <f t="shared" si="210"/>
        <v>128</v>
      </c>
      <c r="AI134" s="90">
        <f t="shared" ref="AI134:AI136" si="430">$S134*W134</f>
        <v>0</v>
      </c>
      <c r="AJ134" s="91">
        <f t="shared" ref="AJ134:AJ136" si="431">$S134*X134</f>
        <v>0</v>
      </c>
      <c r="AK134" s="91">
        <f t="shared" ref="AK134:AK136" si="432">$S134*Y134</f>
        <v>1466999.9999999998</v>
      </c>
      <c r="AL134" s="91">
        <f t="shared" ref="AL134:AL136" si="433">$S134*Z134</f>
        <v>0</v>
      </c>
      <c r="AM134" s="91">
        <f t="shared" ref="AM134:AM136" si="434">$S134*AA134</f>
        <v>0</v>
      </c>
      <c r="AN134" s="91">
        <f t="shared" ref="AN134:AN136" si="435">$S134*AB134</f>
        <v>0</v>
      </c>
      <c r="AO134" s="91">
        <f t="shared" ref="AO134:AO136" si="436">$S134*AC134</f>
        <v>0</v>
      </c>
      <c r="AP134" s="50">
        <f t="shared" ref="AP134:AP136" si="437">$S134*AD134</f>
        <v>0</v>
      </c>
      <c r="AQ134" s="770"/>
      <c r="AR134" s="4">
        <f t="shared" ref="AR134:AR136" si="438">SUM(AI134:AP134)</f>
        <v>1466999.9999999998</v>
      </c>
      <c r="AT134" s="4"/>
      <c r="AV134" s="131">
        <f t="shared" ref="AV134:AV136" si="439">$T134*W134</f>
        <v>0</v>
      </c>
      <c r="AW134" s="100">
        <f t="shared" ref="AW134:AW136" si="440">$T134*X134</f>
        <v>0</v>
      </c>
      <c r="AX134" s="100">
        <f t="shared" ref="AX134:AX136" si="441">$T134*Y134</f>
        <v>1423608.3404999999</v>
      </c>
      <c r="AY134" s="100">
        <f t="shared" ref="AY134:AY136" si="442">$T134*Z134</f>
        <v>0</v>
      </c>
      <c r="AZ134" s="100">
        <f t="shared" ref="AZ134:AZ136" si="443">$T134*AA134</f>
        <v>0</v>
      </c>
      <c r="BA134" s="100">
        <f t="shared" ref="BA134:BA136" si="444">$T134*AB134</f>
        <v>0</v>
      </c>
      <c r="BB134" s="100">
        <f t="shared" ref="BB134:BB136" si="445">$T134*AC134</f>
        <v>0</v>
      </c>
      <c r="BC134" s="100">
        <f t="shared" ref="BC134:BC136" si="446">$T134*AD134</f>
        <v>0</v>
      </c>
      <c r="BE134" s="96">
        <f t="shared" si="372"/>
        <v>1423608.3404999999</v>
      </c>
      <c r="BG134" t="str">
        <f t="shared" si="427"/>
        <v>Finance &amp; Management_Programme Management &amp; Commercial Services_SCC</v>
      </c>
      <c r="BJ134" s="133">
        <f t="shared" si="213"/>
        <v>0</v>
      </c>
      <c r="BK134" s="133">
        <f t="shared" si="214"/>
        <v>0</v>
      </c>
      <c r="BL134" s="133">
        <f t="shared" si="215"/>
        <v>0</v>
      </c>
      <c r="BM134" s="133">
        <f t="shared" si="216"/>
        <v>0</v>
      </c>
      <c r="BN134" s="133">
        <f t="shared" si="217"/>
        <v>0</v>
      </c>
      <c r="BO134" s="133">
        <f t="shared" si="218"/>
        <v>0</v>
      </c>
      <c r="BP134" s="133">
        <f t="shared" si="219"/>
        <v>0</v>
      </c>
      <c r="BR134" s="815"/>
    </row>
    <row r="135" spans="1:70" ht="45.75" customHeight="1" x14ac:dyDescent="0.25">
      <c r="A135" s="66">
        <v>5</v>
      </c>
      <c r="B135" s="126" t="s">
        <v>340</v>
      </c>
      <c r="C135" s="124" t="s">
        <v>344</v>
      </c>
      <c r="D135" s="27" t="s">
        <v>38</v>
      </c>
      <c r="E135" s="27" t="str">
        <f t="shared" si="31"/>
        <v>Finance &amp; Management_Programme Management &amp; Commercial Services_RMBC</v>
      </c>
      <c r="F135" s="27" t="str">
        <f t="shared" si="265"/>
        <v>Finance &amp; Management_RMBC</v>
      </c>
      <c r="G135" s="330" t="s">
        <v>524</v>
      </c>
      <c r="H135" s="331" t="str">
        <f t="shared" ref="H135:H164" si="447">CONCATENATE(B135,"_",D135,"_",G135)</f>
        <v>Finance &amp; Management_RMBC_opex</v>
      </c>
      <c r="I135" s="331">
        <v>129</v>
      </c>
      <c r="J135" s="4">
        <f t="shared" si="415"/>
        <v>219999.99999999997</v>
      </c>
      <c r="K135" s="27"/>
      <c r="L135" s="52">
        <f>L$131*CALC_Current_option!$C300</f>
        <v>63799.999999999993</v>
      </c>
      <c r="M135" s="52">
        <f>M$131*CALC_Current_option!$C300</f>
        <v>125399.99999999999</v>
      </c>
      <c r="N135" s="52">
        <f>N$131*CALC_Current_option!$C300</f>
        <v>30800.000000000004</v>
      </c>
      <c r="O135" s="60"/>
      <c r="P135" s="60"/>
      <c r="Q135" s="60"/>
      <c r="R135" s="60"/>
      <c r="S135" s="62">
        <f t="shared" si="428"/>
        <v>219999.99999999997</v>
      </c>
      <c r="T135" s="67">
        <f t="shared" si="429"/>
        <v>213492.72999999998</v>
      </c>
      <c r="U135" s="62"/>
      <c r="W135" s="14"/>
      <c r="X135" s="14"/>
      <c r="Y135" s="653">
        <v>1</v>
      </c>
      <c r="Z135" s="14"/>
      <c r="AA135" s="14"/>
      <c r="AB135" s="14"/>
      <c r="AC135" s="14"/>
      <c r="AD135" s="14"/>
      <c r="AE135" s="32"/>
      <c r="AF135" s="32"/>
      <c r="AH135" s="284">
        <f t="shared" si="210"/>
        <v>129</v>
      </c>
      <c r="AI135" s="90">
        <f t="shared" si="430"/>
        <v>0</v>
      </c>
      <c r="AJ135" s="91">
        <f t="shared" si="431"/>
        <v>0</v>
      </c>
      <c r="AK135" s="91">
        <f t="shared" si="432"/>
        <v>219999.99999999997</v>
      </c>
      <c r="AL135" s="91">
        <f t="shared" si="433"/>
        <v>0</v>
      </c>
      <c r="AM135" s="91">
        <f t="shared" si="434"/>
        <v>0</v>
      </c>
      <c r="AN135" s="91">
        <f t="shared" si="435"/>
        <v>0</v>
      </c>
      <c r="AO135" s="91">
        <f t="shared" si="436"/>
        <v>0</v>
      </c>
      <c r="AP135" s="50">
        <f t="shared" si="437"/>
        <v>0</v>
      </c>
      <c r="AQ135" s="770"/>
      <c r="AR135" s="4">
        <f t="shared" si="438"/>
        <v>219999.99999999997</v>
      </c>
      <c r="AT135" s="4"/>
      <c r="AV135" s="131">
        <f t="shared" si="439"/>
        <v>0</v>
      </c>
      <c r="AW135" s="100">
        <f t="shared" si="440"/>
        <v>0</v>
      </c>
      <c r="AX135" s="100">
        <f t="shared" si="441"/>
        <v>213492.72999999998</v>
      </c>
      <c r="AY135" s="100">
        <f t="shared" si="442"/>
        <v>0</v>
      </c>
      <c r="AZ135" s="100">
        <f t="shared" si="443"/>
        <v>0</v>
      </c>
      <c r="BA135" s="100">
        <f t="shared" si="444"/>
        <v>0</v>
      </c>
      <c r="BB135" s="100">
        <f t="shared" si="445"/>
        <v>0</v>
      </c>
      <c r="BC135" s="100">
        <f t="shared" si="446"/>
        <v>0</v>
      </c>
      <c r="BE135" s="96">
        <f t="shared" si="372"/>
        <v>213492.72999999998</v>
      </c>
      <c r="BG135" t="str">
        <f t="shared" si="427"/>
        <v>Finance &amp; Management_Programme Management &amp; Commercial Services_RMBC</v>
      </c>
      <c r="BJ135" s="133">
        <f t="shared" si="213"/>
        <v>0</v>
      </c>
      <c r="BK135" s="133">
        <f t="shared" ref="BK135:BK146" si="448">IF($G135="Ignore",0,$AC135*M135)</f>
        <v>0</v>
      </c>
      <c r="BL135" s="133">
        <f t="shared" ref="BL135:BL146" si="449">IF($G135="Ignore",0,$AC135*N135)</f>
        <v>0</v>
      </c>
      <c r="BM135" s="133">
        <f t="shared" ref="BM135:BM146" si="450">IF($G135="Ignore",0,$AC135*O135)</f>
        <v>0</v>
      </c>
      <c r="BN135" s="133">
        <f t="shared" ref="BN135:BN146" si="451">IF($G135="Ignore",0,$AC135*P135)</f>
        <v>0</v>
      </c>
      <c r="BO135" s="133">
        <f t="shared" ref="BO135:BO146" si="452">IF($G135="Ignore",0,$AC135*Q135)</f>
        <v>0</v>
      </c>
      <c r="BP135" s="133">
        <f t="shared" ref="BP135:BP146" si="453">IF($G135="Ignore",0,$AC135*R135)</f>
        <v>0</v>
      </c>
      <c r="BR135" s="815"/>
    </row>
    <row r="136" spans="1:70" ht="45.75" customHeight="1" x14ac:dyDescent="0.25">
      <c r="A136" s="66">
        <v>6</v>
      </c>
      <c r="B136" s="325" t="s">
        <v>296</v>
      </c>
      <c r="C136" s="327" t="s">
        <v>466</v>
      </c>
      <c r="D136" s="27" t="s">
        <v>37</v>
      </c>
      <c r="E136" s="27" t="str">
        <f t="shared" si="31"/>
        <v>Contingency_Programme Management &amp; Commercial Services - Contingency_SCC</v>
      </c>
      <c r="F136" s="27" t="str">
        <f t="shared" si="265"/>
        <v>Contingency_SCC</v>
      </c>
      <c r="G136" s="330" t="s">
        <v>524</v>
      </c>
      <c r="H136" s="331" t="str">
        <f t="shared" si="447"/>
        <v>Contingency_SCC_opex</v>
      </c>
      <c r="I136" s="331">
        <v>130</v>
      </c>
      <c r="J136" s="4">
        <f t="shared" si="415"/>
        <v>293400</v>
      </c>
      <c r="K136" s="27"/>
      <c r="L136" s="52">
        <f>L$131*CALC_Current_option!$D299</f>
        <v>85086</v>
      </c>
      <c r="M136" s="52">
        <f>M$131*CALC_Current_option!$D299</f>
        <v>167238</v>
      </c>
      <c r="N136" s="52">
        <f>N$131*CALC_Current_option!$D299</f>
        <v>41076.000000000007</v>
      </c>
      <c r="O136" s="60"/>
      <c r="P136" s="60"/>
      <c r="Q136" s="60"/>
      <c r="R136" s="60"/>
      <c r="S136" s="62">
        <f t="shared" si="428"/>
        <v>293400</v>
      </c>
      <c r="T136" s="67">
        <f t="shared" si="429"/>
        <v>284721.66810000001</v>
      </c>
      <c r="U136" s="62"/>
      <c r="W136" s="14"/>
      <c r="X136" s="14"/>
      <c r="Y136" s="653">
        <v>1</v>
      </c>
      <c r="Z136" s="14"/>
      <c r="AA136" s="14"/>
      <c r="AB136" s="14"/>
      <c r="AC136" s="14"/>
      <c r="AD136" s="14"/>
      <c r="AE136" s="32"/>
      <c r="AF136" s="32"/>
      <c r="AH136" s="284">
        <f t="shared" ref="AH136:AH146" si="454">I136</f>
        <v>130</v>
      </c>
      <c r="AI136" s="90">
        <f t="shared" si="430"/>
        <v>0</v>
      </c>
      <c r="AJ136" s="91">
        <f t="shared" si="431"/>
        <v>0</v>
      </c>
      <c r="AK136" s="91">
        <f t="shared" si="432"/>
        <v>293400</v>
      </c>
      <c r="AL136" s="91">
        <f t="shared" si="433"/>
        <v>0</v>
      </c>
      <c r="AM136" s="91">
        <f t="shared" si="434"/>
        <v>0</v>
      </c>
      <c r="AN136" s="91">
        <f t="shared" si="435"/>
        <v>0</v>
      </c>
      <c r="AO136" s="91">
        <f t="shared" si="436"/>
        <v>0</v>
      </c>
      <c r="AP136" s="50">
        <f t="shared" si="437"/>
        <v>0</v>
      </c>
      <c r="AQ136" s="770"/>
      <c r="AR136" s="4">
        <f t="shared" si="438"/>
        <v>293400</v>
      </c>
      <c r="AT136" s="4"/>
      <c r="AV136" s="131">
        <f t="shared" si="439"/>
        <v>0</v>
      </c>
      <c r="AW136" s="100">
        <f t="shared" si="440"/>
        <v>0</v>
      </c>
      <c r="AX136" s="100">
        <f t="shared" si="441"/>
        <v>284721.66810000001</v>
      </c>
      <c r="AY136" s="100">
        <f t="shared" si="442"/>
        <v>0</v>
      </c>
      <c r="AZ136" s="100">
        <f t="shared" si="443"/>
        <v>0</v>
      </c>
      <c r="BA136" s="100">
        <f t="shared" si="444"/>
        <v>0</v>
      </c>
      <c r="BB136" s="100">
        <f t="shared" si="445"/>
        <v>0</v>
      </c>
      <c r="BC136" s="100">
        <f t="shared" si="446"/>
        <v>0</v>
      </c>
      <c r="BE136" s="96">
        <f t="shared" si="372"/>
        <v>284721.66810000001</v>
      </c>
      <c r="BG136" t="str">
        <f t="shared" si="427"/>
        <v>Contingency_Programme Management &amp; Commercial Services - Contingency_SCC</v>
      </c>
      <c r="BJ136" s="133">
        <f t="shared" ref="BJ136:BJ146" si="455">IF($G136="Ignore",0,$AC136*L136)</f>
        <v>0</v>
      </c>
      <c r="BK136" s="133">
        <f t="shared" si="448"/>
        <v>0</v>
      </c>
      <c r="BL136" s="133">
        <f t="shared" si="449"/>
        <v>0</v>
      </c>
      <c r="BM136" s="133">
        <f t="shared" si="450"/>
        <v>0</v>
      </c>
      <c r="BN136" s="133">
        <f t="shared" si="451"/>
        <v>0</v>
      </c>
      <c r="BO136" s="133">
        <f t="shared" si="452"/>
        <v>0</v>
      </c>
      <c r="BP136" s="133">
        <f t="shared" si="453"/>
        <v>0</v>
      </c>
      <c r="BR136" s="815"/>
    </row>
    <row r="137" spans="1:70" ht="45.75" customHeight="1" thickBot="1" x14ac:dyDescent="0.3">
      <c r="A137" s="66">
        <v>7</v>
      </c>
      <c r="B137" s="325" t="s">
        <v>296</v>
      </c>
      <c r="C137" s="327" t="s">
        <v>466</v>
      </c>
      <c r="D137" s="27" t="s">
        <v>38</v>
      </c>
      <c r="E137" s="27" t="str">
        <f t="shared" ref="E137" si="456">CONCATENATE(B137,"_",C137,"_",D137)</f>
        <v>Contingency_Programme Management &amp; Commercial Services - Contingency_RMBC</v>
      </c>
      <c r="F137" s="27" t="str">
        <f t="shared" ref="F137" si="457">CONCATENATE(B137,"_",D137)</f>
        <v>Contingency_RMBC</v>
      </c>
      <c r="G137" s="330" t="s">
        <v>524</v>
      </c>
      <c r="H137" s="331" t="str">
        <f t="shared" si="447"/>
        <v>Contingency_RMBC_opex</v>
      </c>
      <c r="I137" s="331">
        <v>131</v>
      </c>
      <c r="J137" s="4">
        <f t="shared" si="415"/>
        <v>44000</v>
      </c>
      <c r="K137" s="27"/>
      <c r="L137" s="52">
        <f>L$131*CALC_Current_option!$D300</f>
        <v>12760</v>
      </c>
      <c r="M137" s="52">
        <f>M$131*CALC_Current_option!$D300</f>
        <v>25079.999999999996</v>
      </c>
      <c r="N137" s="52">
        <f>N$131*CALC_Current_option!$D300</f>
        <v>6160.0000000000009</v>
      </c>
      <c r="O137" s="60"/>
      <c r="P137" s="60"/>
      <c r="Q137" s="60"/>
      <c r="R137" s="60"/>
      <c r="S137" s="62">
        <f t="shared" ref="S137" si="458">SUM(L137:R137)</f>
        <v>44000</v>
      </c>
      <c r="T137" s="67">
        <f t="shared" ref="T137" si="459">SUMPRODUCT(L137:R137,$L$3:$R$3)</f>
        <v>42698.545999999995</v>
      </c>
      <c r="U137" s="62" t="s">
        <v>811</v>
      </c>
      <c r="W137" s="14"/>
      <c r="X137" s="14"/>
      <c r="Y137" s="664">
        <v>1</v>
      </c>
      <c r="Z137" s="360"/>
      <c r="AA137" s="14"/>
      <c r="AB137" s="14"/>
      <c r="AC137" s="14"/>
      <c r="AD137" s="14"/>
      <c r="AE137" s="32"/>
      <c r="AF137" s="32"/>
      <c r="AH137" s="284">
        <f t="shared" si="454"/>
        <v>131</v>
      </c>
      <c r="AI137" s="90">
        <f t="shared" ref="AI137" si="460">$S137*W137</f>
        <v>0</v>
      </c>
      <c r="AJ137" s="91">
        <f t="shared" ref="AJ137" si="461">$S137*X137</f>
        <v>0</v>
      </c>
      <c r="AK137" s="91">
        <f t="shared" ref="AK137" si="462">$S137*Y137</f>
        <v>44000</v>
      </c>
      <c r="AL137" s="91">
        <f t="shared" ref="AL137" si="463">$S137*Z137</f>
        <v>0</v>
      </c>
      <c r="AM137" s="91">
        <f t="shared" ref="AM137" si="464">$S137*AA137</f>
        <v>0</v>
      </c>
      <c r="AN137" s="91">
        <f t="shared" ref="AN137" si="465">$S137*AB137</f>
        <v>0</v>
      </c>
      <c r="AO137" s="91">
        <f t="shared" ref="AO137" si="466">$S137*AC137</f>
        <v>0</v>
      </c>
      <c r="AP137" s="50">
        <f t="shared" ref="AP137" si="467">$S137*AD137</f>
        <v>0</v>
      </c>
      <c r="AQ137" s="770"/>
      <c r="AR137" s="4">
        <f t="shared" ref="AR137" si="468">SUM(AI137:AP137)</f>
        <v>44000</v>
      </c>
      <c r="AT137" s="4"/>
      <c r="AV137" s="131">
        <f t="shared" ref="AV137" si="469">$T137*W137</f>
        <v>0</v>
      </c>
      <c r="AW137" s="100">
        <f t="shared" ref="AW137" si="470">$T137*X137</f>
        <v>0</v>
      </c>
      <c r="AX137" s="100">
        <f t="shared" ref="AX137" si="471">$T137*Y137</f>
        <v>42698.545999999995</v>
      </c>
      <c r="AY137" s="100">
        <f t="shared" ref="AY137" si="472">$T137*Z137</f>
        <v>0</v>
      </c>
      <c r="AZ137" s="100">
        <f t="shared" ref="AZ137" si="473">$T137*AA137</f>
        <v>0</v>
      </c>
      <c r="BA137" s="100">
        <f t="shared" ref="BA137" si="474">$T137*AB137</f>
        <v>0</v>
      </c>
      <c r="BB137" s="100">
        <f t="shared" ref="BB137" si="475">$T137*AC137</f>
        <v>0</v>
      </c>
      <c r="BC137" s="100">
        <f t="shared" ref="BC137" si="476">$T137*AD137</f>
        <v>0</v>
      </c>
      <c r="BE137" s="96">
        <f t="shared" ref="BE137" si="477">SUM(AV137:BC137)</f>
        <v>42698.545999999995</v>
      </c>
      <c r="BG137" t="str">
        <f t="shared" si="427"/>
        <v>Contingency_Programme Management &amp; Commercial Services - Contingency_RMBC</v>
      </c>
      <c r="BJ137" s="133">
        <f t="shared" si="455"/>
        <v>0</v>
      </c>
      <c r="BK137" s="133">
        <f t="shared" si="448"/>
        <v>0</v>
      </c>
      <c r="BL137" s="133">
        <f t="shared" si="449"/>
        <v>0</v>
      </c>
      <c r="BM137" s="133">
        <f t="shared" si="450"/>
        <v>0</v>
      </c>
      <c r="BN137" s="133">
        <f t="shared" si="451"/>
        <v>0</v>
      </c>
      <c r="BO137" s="133">
        <f t="shared" si="452"/>
        <v>0</v>
      </c>
      <c r="BP137" s="133">
        <f t="shared" si="453"/>
        <v>0</v>
      </c>
      <c r="BR137" s="815"/>
    </row>
    <row r="138" spans="1:70" ht="30" customHeight="1" thickBot="1" x14ac:dyDescent="0.3">
      <c r="A138" s="66">
        <v>8</v>
      </c>
      <c r="B138" s="126" t="s">
        <v>340</v>
      </c>
      <c r="C138" s="27" t="s">
        <v>137</v>
      </c>
      <c r="D138" s="27" t="s">
        <v>37</v>
      </c>
      <c r="E138" s="27" t="str">
        <f t="shared" si="31"/>
        <v>Finance &amp; Management_Interest on the loans - car_SCC</v>
      </c>
      <c r="F138" s="27" t="str">
        <f t="shared" si="265"/>
        <v>Finance &amp; Management_SCC</v>
      </c>
      <c r="G138" s="330" t="s">
        <v>523</v>
      </c>
      <c r="H138" s="331" t="str">
        <f t="shared" si="447"/>
        <v>Finance &amp; Management_SCC_capex</v>
      </c>
      <c r="I138" s="331">
        <v>132</v>
      </c>
      <c r="J138" s="4">
        <f t="shared" si="415"/>
        <v>0</v>
      </c>
      <c r="K138" s="27"/>
      <c r="L138" s="60"/>
      <c r="M138" s="700">
        <f>CALC_Current_option!$C306*CALC_Int_on_loan_Other!Y$4</f>
        <v>0</v>
      </c>
      <c r="N138" s="700">
        <f>CALC_Current_option!$C306*CALC_Int_on_loan_Other!Z$4</f>
        <v>0</v>
      </c>
      <c r="O138" s="700">
        <f>CALC_Current_option!$C306*CALC_Int_on_loan_Other!AA$4</f>
        <v>0</v>
      </c>
      <c r="P138" s="700">
        <f>CALC_Current_option!$C306*CALC_Int_on_loan_Other!AB$4</f>
        <v>0</v>
      </c>
      <c r="Q138" s="700">
        <f>CALC_Current_option!$C306*CALC_Int_on_loan_Other!AC$4</f>
        <v>0</v>
      </c>
      <c r="R138" s="682">
        <f>CALC_Current_option!$C306*CALC_Int_on_loan_Other!AD$4</f>
        <v>0</v>
      </c>
      <c r="S138" s="30">
        <f t="shared" si="286"/>
        <v>0</v>
      </c>
      <c r="T138" s="702">
        <f>SUMPRODUCT(L138:R138,$L$3:$R$3)*U138</f>
        <v>0</v>
      </c>
      <c r="U138" s="681">
        <f>CALC_Int_on_loan_Other!$AI$15</f>
        <v>1</v>
      </c>
      <c r="W138" s="14"/>
      <c r="X138" s="54"/>
      <c r="Y138" s="672">
        <f>HLOOKUP($B$1,INP_Assumptions!$C$128:$F$134,2,FALSE)</f>
        <v>0</v>
      </c>
      <c r="Z138" s="673">
        <f t="shared" ref="Z138:Z144" si="478">1-Y138</f>
        <v>1</v>
      </c>
      <c r="AA138" s="53"/>
      <c r="AB138" s="14"/>
      <c r="AC138" s="14"/>
      <c r="AD138" s="14"/>
      <c r="AE138" s="32"/>
      <c r="AF138" s="32"/>
      <c r="AH138" s="284">
        <f t="shared" si="454"/>
        <v>132</v>
      </c>
      <c r="AI138" s="90">
        <f t="shared" si="419"/>
        <v>0</v>
      </c>
      <c r="AJ138" s="91">
        <f t="shared" si="420"/>
        <v>0</v>
      </c>
      <c r="AK138" s="91">
        <f t="shared" si="421"/>
        <v>0</v>
      </c>
      <c r="AL138" s="91">
        <f t="shared" si="422"/>
        <v>0</v>
      </c>
      <c r="AM138" s="91">
        <f t="shared" si="423"/>
        <v>0</v>
      </c>
      <c r="AN138" s="91">
        <f t="shared" si="424"/>
        <v>0</v>
      </c>
      <c r="AO138" s="91">
        <f t="shared" si="425"/>
        <v>0</v>
      </c>
      <c r="AP138" s="50">
        <f t="shared" si="426"/>
        <v>0</v>
      </c>
      <c r="AQ138" s="770"/>
      <c r="AR138" s="4">
        <f t="shared" si="255"/>
        <v>0</v>
      </c>
      <c r="AT138" s="4"/>
      <c r="AV138" s="131">
        <f t="shared" si="256"/>
        <v>0</v>
      </c>
      <c r="AW138" s="100">
        <f t="shared" si="257"/>
        <v>0</v>
      </c>
      <c r="AX138" s="100">
        <f t="shared" si="258"/>
        <v>0</v>
      </c>
      <c r="AY138" s="100">
        <f t="shared" si="259"/>
        <v>0</v>
      </c>
      <c r="AZ138" s="100">
        <f t="shared" si="260"/>
        <v>0</v>
      </c>
      <c r="BA138" s="100">
        <f t="shared" si="261"/>
        <v>0</v>
      </c>
      <c r="BB138" s="100">
        <f t="shared" si="262"/>
        <v>0</v>
      </c>
      <c r="BC138" s="100">
        <f t="shared" si="263"/>
        <v>0</v>
      </c>
      <c r="BE138" s="96">
        <f t="shared" si="372"/>
        <v>0</v>
      </c>
      <c r="BG138" t="str">
        <f t="shared" si="427"/>
        <v>Finance &amp; Management_Interest on the loans - car_SCC</v>
      </c>
      <c r="BJ138" s="133">
        <f t="shared" si="455"/>
        <v>0</v>
      </c>
      <c r="BK138" s="133">
        <f t="shared" si="448"/>
        <v>0</v>
      </c>
      <c r="BL138" s="133">
        <f t="shared" si="449"/>
        <v>0</v>
      </c>
      <c r="BM138" s="133">
        <f t="shared" si="450"/>
        <v>0</v>
      </c>
      <c r="BN138" s="133">
        <f t="shared" si="451"/>
        <v>0</v>
      </c>
      <c r="BO138" s="133">
        <f t="shared" si="452"/>
        <v>0</v>
      </c>
      <c r="BP138" s="133">
        <f t="shared" si="453"/>
        <v>0</v>
      </c>
      <c r="BR138" s="815"/>
    </row>
    <row r="139" spans="1:70" ht="30" customHeight="1" thickBot="1" x14ac:dyDescent="0.3">
      <c r="A139" s="66">
        <v>9</v>
      </c>
      <c r="B139" s="126" t="s">
        <v>340</v>
      </c>
      <c r="C139" s="27" t="s">
        <v>138</v>
      </c>
      <c r="D139" s="27" t="s">
        <v>37</v>
      </c>
      <c r="E139" s="27" t="str">
        <f t="shared" ref="E139:E146" si="479">CONCATENATE(B139,"_",C139,"_",D139)</f>
        <v>Finance &amp; Management_Interest on the loans - taxi_SCC</v>
      </c>
      <c r="F139" s="27" t="str">
        <f t="shared" si="265"/>
        <v>Finance &amp; Management_SCC</v>
      </c>
      <c r="G139" s="330" t="s">
        <v>523</v>
      </c>
      <c r="H139" s="331" t="str">
        <f t="shared" si="447"/>
        <v>Finance &amp; Management_SCC_capex</v>
      </c>
      <c r="I139" s="331">
        <v>133</v>
      </c>
      <c r="J139" s="4">
        <f t="shared" si="415"/>
        <v>12450438.000000004</v>
      </c>
      <c r="K139" s="27"/>
      <c r="L139" s="60"/>
      <c r="M139" s="100">
        <f>CALC_Current_option!$C303*CALC_Int_on_loan_Taxis!Y$4</f>
        <v>2365583.2200000002</v>
      </c>
      <c r="N139" s="100">
        <f>CALC_Current_option!$C303*CALC_Int_on_loan_Taxis!Z$4</f>
        <v>3984140.1600000006</v>
      </c>
      <c r="O139" s="100">
        <f>CALC_Current_option!$C303*CALC_Int_on_loan_Taxis!AA$4</f>
        <v>2988105.1200000006</v>
      </c>
      <c r="P139" s="100">
        <f>CALC_Current_option!$C303*CALC_Int_on_loan_Taxis!AB$4</f>
        <v>1992070.0800000003</v>
      </c>
      <c r="Q139" s="100">
        <f>CALC_Current_option!$C303*CALC_Int_on_loan_Taxis!AC$4</f>
        <v>996035.04000000015</v>
      </c>
      <c r="R139" s="697">
        <f>CALC_Current_option!$C303*CALC_Int_on_loan_Taxis!AD$4</f>
        <v>124504.38000000002</v>
      </c>
      <c r="S139" s="30">
        <f t="shared" si="286"/>
        <v>12450438.000000004</v>
      </c>
      <c r="T139" s="703">
        <f t="shared" ref="T139:T144" si="480">SUMPRODUCT(L139:R139,$L$3:$R$3)*U139</f>
        <v>11339662.252188887</v>
      </c>
      <c r="U139" s="681">
        <f>CALC_Int_on_loan_Taxis!$AI$15</f>
        <v>1</v>
      </c>
      <c r="W139" s="14"/>
      <c r="X139" s="54"/>
      <c r="Y139" s="672">
        <f>HLOOKUP($B$1,INP_Assumptions!$C$128:$F$134,3,FALSE)</f>
        <v>1</v>
      </c>
      <c r="Z139" s="674">
        <f t="shared" si="478"/>
        <v>0</v>
      </c>
      <c r="AA139" s="53"/>
      <c r="AB139" s="14"/>
      <c r="AC139" s="14"/>
      <c r="AD139" s="14"/>
      <c r="AE139" s="32"/>
      <c r="AF139" s="32"/>
      <c r="AH139" s="284">
        <f t="shared" si="454"/>
        <v>133</v>
      </c>
      <c r="AI139" s="90">
        <f t="shared" si="419"/>
        <v>0</v>
      </c>
      <c r="AJ139" s="91">
        <f t="shared" si="420"/>
        <v>0</v>
      </c>
      <c r="AK139" s="91">
        <f t="shared" si="421"/>
        <v>12450438.000000004</v>
      </c>
      <c r="AL139" s="91">
        <f t="shared" si="422"/>
        <v>0</v>
      </c>
      <c r="AM139" s="91">
        <f t="shared" si="423"/>
        <v>0</v>
      </c>
      <c r="AN139" s="91">
        <f t="shared" si="424"/>
        <v>0</v>
      </c>
      <c r="AO139" s="91">
        <f t="shared" si="425"/>
        <v>0</v>
      </c>
      <c r="AP139" s="50">
        <f t="shared" si="426"/>
        <v>0</v>
      </c>
      <c r="AQ139" s="770"/>
      <c r="AR139" s="4">
        <f t="shared" si="255"/>
        <v>12450438.000000004</v>
      </c>
      <c r="AT139" s="4"/>
      <c r="AV139" s="131">
        <f t="shared" si="256"/>
        <v>0</v>
      </c>
      <c r="AW139" s="100">
        <f t="shared" si="257"/>
        <v>0</v>
      </c>
      <c r="AX139" s="100">
        <f t="shared" si="258"/>
        <v>11339662.252188887</v>
      </c>
      <c r="AY139" s="100">
        <f t="shared" si="259"/>
        <v>0</v>
      </c>
      <c r="AZ139" s="100">
        <f t="shared" si="260"/>
        <v>0</v>
      </c>
      <c r="BA139" s="100">
        <f t="shared" si="261"/>
        <v>0</v>
      </c>
      <c r="BB139" s="100">
        <f t="shared" si="262"/>
        <v>0</v>
      </c>
      <c r="BC139" s="100">
        <f t="shared" si="263"/>
        <v>0</v>
      </c>
      <c r="BE139" s="96">
        <f t="shared" si="372"/>
        <v>11339662.252188887</v>
      </c>
      <c r="BG139" t="str">
        <f t="shared" si="427"/>
        <v>Finance &amp; Management_Interest on the loans - taxi_SCC</v>
      </c>
      <c r="BJ139" s="133">
        <f t="shared" si="455"/>
        <v>0</v>
      </c>
      <c r="BK139" s="133">
        <f t="shared" si="448"/>
        <v>0</v>
      </c>
      <c r="BL139" s="133">
        <f t="shared" si="449"/>
        <v>0</v>
      </c>
      <c r="BM139" s="133">
        <f t="shared" si="450"/>
        <v>0</v>
      </c>
      <c r="BN139" s="133">
        <f t="shared" si="451"/>
        <v>0</v>
      </c>
      <c r="BO139" s="133">
        <f t="shared" si="452"/>
        <v>0</v>
      </c>
      <c r="BP139" s="133">
        <f t="shared" si="453"/>
        <v>0</v>
      </c>
      <c r="BR139" s="815"/>
    </row>
    <row r="140" spans="1:70" ht="30" customHeight="1" thickBot="1" x14ac:dyDescent="0.3">
      <c r="A140" s="66">
        <v>10</v>
      </c>
      <c r="B140" s="126" t="s">
        <v>340</v>
      </c>
      <c r="C140" s="27" t="s">
        <v>289</v>
      </c>
      <c r="D140" s="27" t="s">
        <v>37</v>
      </c>
      <c r="E140" s="27" t="str">
        <f t="shared" ref="E140" si="481">CONCATENATE(B140,"_",C140,"_",D140)</f>
        <v>Finance &amp; Management_Interest on the loans - buses_SCC</v>
      </c>
      <c r="F140" s="27" t="str">
        <f t="shared" si="265"/>
        <v>Finance &amp; Management_SCC</v>
      </c>
      <c r="G140" s="330" t="s">
        <v>523</v>
      </c>
      <c r="H140" s="331" t="str">
        <f t="shared" si="447"/>
        <v>Finance &amp; Management_SCC_capex</v>
      </c>
      <c r="I140" s="331">
        <v>134</v>
      </c>
      <c r="J140" s="4">
        <f t="shared" si="415"/>
        <v>227850.00000000003</v>
      </c>
      <c r="K140" s="27"/>
      <c r="L140" s="60"/>
      <c r="M140" s="698">
        <f>CALC_Current_option!$C307*CALC_Int_on_loan_Other!Y$4</f>
        <v>43291.5</v>
      </c>
      <c r="N140" s="698">
        <f>CALC_Current_option!$C307*CALC_Int_on_loan_Other!Z$4</f>
        <v>72912.000000000015</v>
      </c>
      <c r="O140" s="698">
        <f>CALC_Current_option!$C307*CALC_Int_on_loan_Other!AA$4</f>
        <v>54684.000000000015</v>
      </c>
      <c r="P140" s="698">
        <f>CALC_Current_option!$C307*CALC_Int_on_loan_Other!AB$4</f>
        <v>36456.000000000007</v>
      </c>
      <c r="Q140" s="698">
        <f>CALC_Current_option!$C307*CALC_Int_on_loan_Other!AC$4</f>
        <v>18228.000000000004</v>
      </c>
      <c r="R140" s="697">
        <f>CALC_Current_option!$C307*CALC_Int_on_loan_Other!AD$4</f>
        <v>2278.5000000000005</v>
      </c>
      <c r="S140" s="704">
        <f t="shared" si="286"/>
        <v>227850.00000000003</v>
      </c>
      <c r="T140" s="703">
        <f t="shared" si="480"/>
        <v>207522.18067840167</v>
      </c>
      <c r="U140" s="681">
        <f>CALC_Int_on_loan_Other!$AI$15</f>
        <v>1</v>
      </c>
      <c r="W140" s="14"/>
      <c r="X140" s="54"/>
      <c r="Y140" s="672">
        <f>HLOOKUP($B$1,INP_Assumptions!$C$128:$F$134,4,FALSE)</f>
        <v>0</v>
      </c>
      <c r="Z140" s="674">
        <f t="shared" si="478"/>
        <v>1</v>
      </c>
      <c r="AA140" s="53"/>
      <c r="AB140" s="14"/>
      <c r="AC140" s="14"/>
      <c r="AD140" s="14"/>
      <c r="AE140" s="32"/>
      <c r="AF140" s="32"/>
      <c r="AH140" s="284">
        <f t="shared" si="454"/>
        <v>134</v>
      </c>
      <c r="AI140" s="90">
        <f t="shared" si="419"/>
        <v>0</v>
      </c>
      <c r="AJ140" s="91">
        <f t="shared" si="420"/>
        <v>0</v>
      </c>
      <c r="AK140" s="91">
        <f t="shared" si="421"/>
        <v>0</v>
      </c>
      <c r="AL140" s="91">
        <f t="shared" si="422"/>
        <v>227850.00000000003</v>
      </c>
      <c r="AM140" s="91">
        <f t="shared" si="423"/>
        <v>0</v>
      </c>
      <c r="AN140" s="91">
        <f t="shared" si="424"/>
        <v>0</v>
      </c>
      <c r="AO140" s="91">
        <f t="shared" si="425"/>
        <v>0</v>
      </c>
      <c r="AP140" s="50">
        <f t="shared" si="426"/>
        <v>0</v>
      </c>
      <c r="AQ140" s="770"/>
      <c r="AR140" s="4">
        <f t="shared" si="255"/>
        <v>227850.00000000003</v>
      </c>
      <c r="AT140" s="4"/>
      <c r="AV140" s="131">
        <f t="shared" si="256"/>
        <v>0</v>
      </c>
      <c r="AW140" s="100">
        <f t="shared" si="257"/>
        <v>0</v>
      </c>
      <c r="AX140" s="100">
        <f t="shared" si="258"/>
        <v>0</v>
      </c>
      <c r="AY140" s="100">
        <f t="shared" si="259"/>
        <v>207522.18067840167</v>
      </c>
      <c r="AZ140" s="100">
        <f t="shared" si="260"/>
        <v>0</v>
      </c>
      <c r="BA140" s="100">
        <f t="shared" si="261"/>
        <v>0</v>
      </c>
      <c r="BB140" s="100">
        <f t="shared" si="262"/>
        <v>0</v>
      </c>
      <c r="BC140" s="100">
        <f t="shared" si="263"/>
        <v>0</v>
      </c>
      <c r="BE140" s="96">
        <f t="shared" si="372"/>
        <v>207522.18067840167</v>
      </c>
      <c r="BG140" t="str">
        <f t="shared" si="427"/>
        <v>Finance &amp; Management_Interest on the loans - buses_SCC</v>
      </c>
      <c r="BJ140" s="133">
        <f t="shared" si="455"/>
        <v>0</v>
      </c>
      <c r="BK140" s="133">
        <f t="shared" si="448"/>
        <v>0</v>
      </c>
      <c r="BL140" s="133">
        <f t="shared" si="449"/>
        <v>0</v>
      </c>
      <c r="BM140" s="133">
        <f t="shared" si="450"/>
        <v>0</v>
      </c>
      <c r="BN140" s="133">
        <f t="shared" si="451"/>
        <v>0</v>
      </c>
      <c r="BO140" s="133">
        <f t="shared" si="452"/>
        <v>0</v>
      </c>
      <c r="BP140" s="133">
        <f t="shared" si="453"/>
        <v>0</v>
      </c>
      <c r="BR140" s="815"/>
    </row>
    <row r="141" spans="1:70" ht="30" customHeight="1" thickBot="1" x14ac:dyDescent="0.3">
      <c r="A141" s="66">
        <v>11</v>
      </c>
      <c r="B141" s="126" t="s">
        <v>340</v>
      </c>
      <c r="C141" s="27" t="s">
        <v>139</v>
      </c>
      <c r="D141" s="27" t="s">
        <v>37</v>
      </c>
      <c r="E141" s="27" t="str">
        <f t="shared" si="479"/>
        <v>Finance &amp; Management_Interest on the loans - LGV_SCC</v>
      </c>
      <c r="F141" s="27" t="str">
        <f t="shared" si="265"/>
        <v>Finance &amp; Management_SCC</v>
      </c>
      <c r="G141" s="330" t="s">
        <v>523</v>
      </c>
      <c r="H141" s="331" t="str">
        <f t="shared" si="447"/>
        <v>Finance &amp; Management_SCC_capex</v>
      </c>
      <c r="I141" s="331">
        <v>135</v>
      </c>
      <c r="J141" s="4">
        <f t="shared" si="415"/>
        <v>6385750</v>
      </c>
      <c r="K141" s="27"/>
      <c r="L141" s="60"/>
      <c r="M141" s="698">
        <f>CALC_Current_option!$C308*CALC_Int_on_loan_Other!Y$4</f>
        <v>1213292.5</v>
      </c>
      <c r="N141" s="698">
        <f>CALC_Current_option!$C308*CALC_Int_on_loan_Other!Z$4</f>
        <v>2043440.0000000002</v>
      </c>
      <c r="O141" s="698">
        <f>CALC_Current_option!$C308*CALC_Int_on_loan_Other!AA$4</f>
        <v>1532580.0000000002</v>
      </c>
      <c r="P141" s="698">
        <f>CALC_Current_option!$C308*CALC_Int_on_loan_Other!AB$4</f>
        <v>1021720.0000000001</v>
      </c>
      <c r="Q141" s="698">
        <f>CALC_Current_option!$C308*CALC_Int_on_loan_Other!AC$4</f>
        <v>510860.00000000006</v>
      </c>
      <c r="R141" s="697">
        <f>CALC_Current_option!$C308*CALC_Int_on_loan_Other!AD$4</f>
        <v>63857.500000000007</v>
      </c>
      <c r="S141" s="705">
        <f t="shared" si="286"/>
        <v>6385750</v>
      </c>
      <c r="T141" s="703">
        <f t="shared" si="480"/>
        <v>5816040.2250037445</v>
      </c>
      <c r="U141" s="681">
        <f>CALC_Int_on_loan_Other!$AI$15</f>
        <v>1</v>
      </c>
      <c r="W141" s="14"/>
      <c r="X141" s="54"/>
      <c r="Y141" s="769">
        <f>HLOOKUP($B$1,INP_Assumptions!$C$128:$F$134,5,FALSE)</f>
        <v>0</v>
      </c>
      <c r="Z141" s="674">
        <f t="shared" si="478"/>
        <v>1</v>
      </c>
      <c r="AA141" s="53"/>
      <c r="AB141" s="14"/>
      <c r="AC141" s="14"/>
      <c r="AD141" s="14"/>
      <c r="AE141" s="32"/>
      <c r="AF141" s="32"/>
      <c r="AH141" s="284">
        <f t="shared" si="454"/>
        <v>135</v>
      </c>
      <c r="AI141" s="90">
        <f t="shared" si="419"/>
        <v>0</v>
      </c>
      <c r="AJ141" s="91">
        <f t="shared" si="420"/>
        <v>0</v>
      </c>
      <c r="AK141" s="91">
        <f t="shared" si="421"/>
        <v>0</v>
      </c>
      <c r="AL141" s="91">
        <f t="shared" si="422"/>
        <v>6385750</v>
      </c>
      <c r="AM141" s="91">
        <f t="shared" si="423"/>
        <v>0</v>
      </c>
      <c r="AN141" s="91">
        <f t="shared" si="424"/>
        <v>0</v>
      </c>
      <c r="AO141" s="91">
        <f t="shared" si="425"/>
        <v>0</v>
      </c>
      <c r="AP141" s="50">
        <f t="shared" si="426"/>
        <v>0</v>
      </c>
      <c r="AQ141" s="770"/>
      <c r="AR141" s="4">
        <f t="shared" si="255"/>
        <v>6385750</v>
      </c>
      <c r="AT141" s="4"/>
      <c r="AV141" s="131">
        <f t="shared" si="256"/>
        <v>0</v>
      </c>
      <c r="AW141" s="100">
        <f t="shared" si="257"/>
        <v>0</v>
      </c>
      <c r="AX141" s="100">
        <f t="shared" si="258"/>
        <v>0</v>
      </c>
      <c r="AY141" s="100">
        <f t="shared" si="259"/>
        <v>5816040.2250037445</v>
      </c>
      <c r="AZ141" s="100">
        <f t="shared" si="260"/>
        <v>0</v>
      </c>
      <c r="BA141" s="100">
        <f t="shared" si="261"/>
        <v>0</v>
      </c>
      <c r="BB141" s="100">
        <f t="shared" si="262"/>
        <v>0</v>
      </c>
      <c r="BC141" s="100">
        <f t="shared" si="263"/>
        <v>0</v>
      </c>
      <c r="BE141" s="96">
        <f t="shared" si="372"/>
        <v>5816040.2250037445</v>
      </c>
      <c r="BG141" t="str">
        <f t="shared" si="427"/>
        <v>Finance &amp; Management_Interest on the loans - LGV_SCC</v>
      </c>
      <c r="BJ141" s="133">
        <f t="shared" si="455"/>
        <v>0</v>
      </c>
      <c r="BK141" s="133">
        <f t="shared" si="448"/>
        <v>0</v>
      </c>
      <c r="BL141" s="133">
        <f t="shared" si="449"/>
        <v>0</v>
      </c>
      <c r="BM141" s="133">
        <f t="shared" si="450"/>
        <v>0</v>
      </c>
      <c r="BN141" s="133">
        <f t="shared" si="451"/>
        <v>0</v>
      </c>
      <c r="BO141" s="133">
        <f t="shared" si="452"/>
        <v>0</v>
      </c>
      <c r="BP141" s="133">
        <f t="shared" si="453"/>
        <v>0</v>
      </c>
      <c r="BR141" s="815"/>
    </row>
    <row r="142" spans="1:70" ht="30" customHeight="1" thickBot="1" x14ac:dyDescent="0.3">
      <c r="A142" s="66">
        <v>12</v>
      </c>
      <c r="B142" s="126" t="s">
        <v>340</v>
      </c>
      <c r="C142" s="27" t="s">
        <v>140</v>
      </c>
      <c r="D142" s="27" t="s">
        <v>37</v>
      </c>
      <c r="E142" s="27" t="str">
        <f t="shared" si="479"/>
        <v>Finance &amp; Management_Interest on the loans - HGV_SCC</v>
      </c>
      <c r="F142" s="27" t="str">
        <f t="shared" si="265"/>
        <v>Finance &amp; Management_SCC</v>
      </c>
      <c r="G142" s="330" t="s">
        <v>523</v>
      </c>
      <c r="H142" s="331" t="str">
        <f t="shared" si="447"/>
        <v>Finance &amp; Management_SCC_capex</v>
      </c>
      <c r="I142" s="331">
        <v>136</v>
      </c>
      <c r="J142" s="4">
        <f t="shared" si="415"/>
        <v>2471000</v>
      </c>
      <c r="K142" s="27"/>
      <c r="L142" s="60"/>
      <c r="M142" s="698">
        <f>CALC_Current_option!$C309*CALC_Int_on_loan_Other!Y$4</f>
        <v>469490</v>
      </c>
      <c r="N142" s="698">
        <f>CALC_Current_option!$C309*CALC_Int_on_loan_Other!Z$4</f>
        <v>790720.00000000012</v>
      </c>
      <c r="O142" s="698">
        <f>CALC_Current_option!$C309*CALC_Int_on_loan_Other!AA$4</f>
        <v>593040.00000000012</v>
      </c>
      <c r="P142" s="698">
        <f>CALC_Current_option!$C309*CALC_Int_on_loan_Other!AB$4</f>
        <v>395360.00000000006</v>
      </c>
      <c r="Q142" s="698">
        <f>CALC_Current_option!$C309*CALC_Int_on_loan_Other!AC$4</f>
        <v>197680.00000000003</v>
      </c>
      <c r="R142" s="697">
        <f>CALC_Current_option!$C309*CALC_Int_on_loan_Other!AD$4</f>
        <v>24710.000000000004</v>
      </c>
      <c r="S142" s="706">
        <f t="shared" si="286"/>
        <v>2471000</v>
      </c>
      <c r="T142" s="703">
        <f t="shared" si="480"/>
        <v>2250547.7658825126</v>
      </c>
      <c r="U142" s="681">
        <f>CALC_Int_on_loan_Other!$AI$15</f>
        <v>1</v>
      </c>
      <c r="W142" s="14"/>
      <c r="X142" s="54"/>
      <c r="Y142" s="672">
        <f>HLOOKUP($B$1,INP_Assumptions!$C$128:$F$134,6,FALSE)</f>
        <v>0</v>
      </c>
      <c r="Z142" s="674">
        <f t="shared" si="478"/>
        <v>1</v>
      </c>
      <c r="AA142" s="53"/>
      <c r="AB142" s="14"/>
      <c r="AC142" s="14"/>
      <c r="AD142" s="14"/>
      <c r="AE142" s="32"/>
      <c r="AF142" s="32"/>
      <c r="AH142" s="284">
        <f t="shared" si="454"/>
        <v>136</v>
      </c>
      <c r="AI142" s="90">
        <f t="shared" si="419"/>
        <v>0</v>
      </c>
      <c r="AJ142" s="91">
        <f t="shared" si="420"/>
        <v>0</v>
      </c>
      <c r="AK142" s="91">
        <f t="shared" si="421"/>
        <v>0</v>
      </c>
      <c r="AL142" s="91">
        <f t="shared" si="422"/>
        <v>2471000</v>
      </c>
      <c r="AM142" s="91">
        <f t="shared" si="423"/>
        <v>0</v>
      </c>
      <c r="AN142" s="91">
        <f t="shared" si="424"/>
        <v>0</v>
      </c>
      <c r="AO142" s="91">
        <f t="shared" si="425"/>
        <v>0</v>
      </c>
      <c r="AP142" s="50">
        <f t="shared" si="426"/>
        <v>0</v>
      </c>
      <c r="AQ142" s="770"/>
      <c r="AR142" s="4">
        <f t="shared" si="255"/>
        <v>2471000</v>
      </c>
      <c r="AT142" s="4"/>
      <c r="AV142" s="131">
        <f t="shared" si="256"/>
        <v>0</v>
      </c>
      <c r="AW142" s="100">
        <f t="shared" si="257"/>
        <v>0</v>
      </c>
      <c r="AX142" s="100">
        <f t="shared" si="258"/>
        <v>0</v>
      </c>
      <c r="AY142" s="100">
        <f t="shared" si="259"/>
        <v>2250547.7658825126</v>
      </c>
      <c r="AZ142" s="100">
        <f t="shared" si="260"/>
        <v>0</v>
      </c>
      <c r="BA142" s="100">
        <f t="shared" si="261"/>
        <v>0</v>
      </c>
      <c r="BB142" s="100">
        <f t="shared" si="262"/>
        <v>0</v>
      </c>
      <c r="BC142" s="100">
        <f t="shared" si="263"/>
        <v>0</v>
      </c>
      <c r="BE142" s="96">
        <f t="shared" si="372"/>
        <v>2250547.7658825126</v>
      </c>
      <c r="BG142" t="str">
        <f t="shared" si="427"/>
        <v>Finance &amp; Management_Interest on the loans - HGV_SCC</v>
      </c>
      <c r="BJ142" s="133">
        <f t="shared" si="455"/>
        <v>0</v>
      </c>
      <c r="BK142" s="133">
        <f t="shared" si="448"/>
        <v>0</v>
      </c>
      <c r="BL142" s="133">
        <f t="shared" si="449"/>
        <v>0</v>
      </c>
      <c r="BM142" s="133">
        <f t="shared" si="450"/>
        <v>0</v>
      </c>
      <c r="BN142" s="133">
        <f t="shared" si="451"/>
        <v>0</v>
      </c>
      <c r="BO142" s="133">
        <f t="shared" si="452"/>
        <v>0</v>
      </c>
      <c r="BP142" s="133">
        <f t="shared" si="453"/>
        <v>0</v>
      </c>
      <c r="BR142" s="815"/>
    </row>
    <row r="143" spans="1:70" ht="30" customHeight="1" thickBot="1" x14ac:dyDescent="0.3">
      <c r="A143" s="60">
        <v>13.1</v>
      </c>
      <c r="B143" s="325" t="s">
        <v>296</v>
      </c>
      <c r="C143" s="326" t="s">
        <v>828</v>
      </c>
      <c r="D143" s="27" t="s">
        <v>37</v>
      </c>
      <c r="E143" s="27" t="str">
        <f t="shared" ref="E143" si="482">CONCATENATE(B143,"_",C143,"_",D143)</f>
        <v>Contingency_Interest on the taxi loans - Contingency_SCC</v>
      </c>
      <c r="F143" s="27" t="str">
        <f t="shared" ref="F143" si="483">CONCATENATE(B143,"_",D143)</f>
        <v>Contingency_SCC</v>
      </c>
      <c r="G143" s="330" t="s">
        <v>524</v>
      </c>
      <c r="H143" s="331" t="str">
        <f t="shared" ref="H143" si="484">CONCATENATE(B143,"_",D143,"_",G143)</f>
        <v>Contingency_SCC_opex</v>
      </c>
      <c r="I143" s="521">
        <v>137.1</v>
      </c>
      <c r="J143" s="4">
        <f t="shared" ref="J143" si="485">SUM(AI143:AP143)-AO143-AP143</f>
        <v>1650276.3200000012</v>
      </c>
      <c r="K143" s="27"/>
      <c r="L143" s="60"/>
      <c r="M143" s="100">
        <f>CALC_Current_option!$D303*CALC_Int_on_loan_Taxis!Y$4</f>
        <v>313552.50080000021</v>
      </c>
      <c r="N143" s="100">
        <f>CALC_Current_option!$D303*CALC_Int_on_loan_Taxis!Z$4</f>
        <v>528088.42240000039</v>
      </c>
      <c r="O143" s="100">
        <f>CALC_Current_option!$D303*CALC_Int_on_loan_Taxis!AA$4</f>
        <v>396066.31680000032</v>
      </c>
      <c r="P143" s="100">
        <f>CALC_Current_option!$D303*CALC_Int_on_loan_Taxis!AB$4</f>
        <v>264044.21120000019</v>
      </c>
      <c r="Q143" s="100">
        <f>CALC_Current_option!$D303*CALC_Int_on_loan_Taxis!AC$4</f>
        <v>132022.1056000001</v>
      </c>
      <c r="R143" s="698">
        <f>CALC_Current_option!$D303*CALC_Int_on_loan_Taxis!AD$4</f>
        <v>16502.763200000012</v>
      </c>
      <c r="S143" s="62">
        <f t="shared" ref="S143" si="486">SUM(L143:R143)</f>
        <v>1650276.3200000012</v>
      </c>
      <c r="T143" s="683">
        <f t="shared" ref="T143" si="487">SUMPRODUCT(L143:R143,$L$3:$R$3)*U143</f>
        <v>1503045.60302097</v>
      </c>
      <c r="U143" s="701">
        <f>CALC_Int_on_loan_Taxis!$AI$15</f>
        <v>1</v>
      </c>
      <c r="V143" s="127"/>
      <c r="W143" s="17"/>
      <c r="X143" s="358"/>
      <c r="Y143" s="676">
        <f>Y139</f>
        <v>1</v>
      </c>
      <c r="Z143" s="675">
        <f t="shared" ref="Z143" si="488">1-Y143</f>
        <v>0</v>
      </c>
      <c r="AA143" s="359"/>
      <c r="AB143" s="17"/>
      <c r="AC143" s="17"/>
      <c r="AD143" s="17"/>
      <c r="AE143" s="134"/>
      <c r="AF143" s="134"/>
      <c r="AG143" s="127"/>
      <c r="AH143" s="284">
        <f t="shared" ref="AH143" si="489">I143</f>
        <v>137.1</v>
      </c>
      <c r="AI143" s="92">
        <f t="shared" ref="AI143" si="490">$S143*W143</f>
        <v>0</v>
      </c>
      <c r="AJ143" s="93">
        <f t="shared" ref="AJ143" si="491">$S143*X143</f>
        <v>0</v>
      </c>
      <c r="AK143" s="93">
        <f t="shared" ref="AK143" si="492">$S143*Y143</f>
        <v>1650276.3200000012</v>
      </c>
      <c r="AL143" s="93">
        <f t="shared" ref="AL143" si="493">$S143*Z143</f>
        <v>0</v>
      </c>
      <c r="AM143" s="93">
        <f t="shared" ref="AM143" si="494">$S143*AA143</f>
        <v>0</v>
      </c>
      <c r="AN143" s="93">
        <f t="shared" ref="AN143" si="495">$S143*AB143</f>
        <v>0</v>
      </c>
      <c r="AO143" s="93">
        <f t="shared" ref="AO143" si="496">$S143*AC143</f>
        <v>0</v>
      </c>
      <c r="AP143" s="51">
        <f t="shared" ref="AP143" si="497">$S143*AD143</f>
        <v>0</v>
      </c>
      <c r="AQ143" s="770"/>
      <c r="AR143" s="135">
        <f t="shared" ref="AR143" si="498">SUM(AI143:AP143)</f>
        <v>1650276.3200000012</v>
      </c>
      <c r="AT143" s="135"/>
      <c r="AU143" s="127"/>
      <c r="AV143" s="132">
        <f t="shared" ref="AV143" si="499">$T143*W143</f>
        <v>0</v>
      </c>
      <c r="AW143" s="128">
        <f t="shared" ref="AW143" si="500">$T143*X143</f>
        <v>0</v>
      </c>
      <c r="AX143" s="128">
        <f t="shared" ref="AX143" si="501">$T143*Y143</f>
        <v>1503045.60302097</v>
      </c>
      <c r="AY143" s="128">
        <f t="shared" ref="AY143" si="502">$T143*Z143</f>
        <v>0</v>
      </c>
      <c r="AZ143" s="128">
        <f t="shared" ref="AZ143" si="503">$T143*AA143</f>
        <v>0</v>
      </c>
      <c r="BA143" s="128">
        <f t="shared" ref="BA143" si="504">$T143*AB143</f>
        <v>0</v>
      </c>
      <c r="BB143" s="128">
        <f t="shared" ref="BB143" si="505">$T143*AC143</f>
        <v>0</v>
      </c>
      <c r="BC143" s="128">
        <f t="shared" ref="BC143" si="506">$T143*AD143</f>
        <v>0</v>
      </c>
      <c r="BD143" s="127"/>
      <c r="BE143" s="136">
        <f t="shared" ref="BE143" si="507">SUM(AV143:BC143)</f>
        <v>1503045.60302097</v>
      </c>
      <c r="BG143" t="str">
        <f t="shared" ref="BG143" si="508">E143</f>
        <v>Contingency_Interest on the taxi loans - Contingency_SCC</v>
      </c>
      <c r="BJ143" s="133">
        <f t="shared" ref="BJ143" si="509">IF($G143="Ignore",0,$AC143*L143)</f>
        <v>0</v>
      </c>
      <c r="BK143" s="133">
        <f t="shared" ref="BK143" si="510">IF($G143="Ignore",0,$AC143*M143)</f>
        <v>0</v>
      </c>
      <c r="BL143" s="133">
        <f t="shared" ref="BL143" si="511">IF($G143="Ignore",0,$AC143*N143)</f>
        <v>0</v>
      </c>
      <c r="BM143" s="133">
        <f t="shared" ref="BM143" si="512">IF($G143="Ignore",0,$AC143*O143)</f>
        <v>0</v>
      </c>
      <c r="BN143" s="133">
        <f t="shared" ref="BN143" si="513">IF($G143="Ignore",0,$AC143*P143)</f>
        <v>0</v>
      </c>
      <c r="BO143" s="133">
        <f t="shared" ref="BO143" si="514">IF($G143="Ignore",0,$AC143*Q143)</f>
        <v>0</v>
      </c>
      <c r="BP143" s="133">
        <f t="shared" ref="BP143" si="515">IF($G143="Ignore",0,$AC143*R143)</f>
        <v>0</v>
      </c>
      <c r="BR143" s="815"/>
    </row>
    <row r="144" spans="1:70" ht="45" customHeight="1" thickBot="1" x14ac:dyDescent="0.3">
      <c r="A144" s="60">
        <v>13.2</v>
      </c>
      <c r="B144" s="325" t="s">
        <v>296</v>
      </c>
      <c r="C144" s="326" t="s">
        <v>829</v>
      </c>
      <c r="D144" s="27" t="s">
        <v>37</v>
      </c>
      <c r="E144" s="27" t="str">
        <f t="shared" si="479"/>
        <v>Contingency_Interest on the Other Veh Type Loans - Contingency_SCC</v>
      </c>
      <c r="F144" s="27" t="str">
        <f t="shared" si="265"/>
        <v>Contingency_SCC</v>
      </c>
      <c r="G144" s="330" t="s">
        <v>524</v>
      </c>
      <c r="H144" s="331" t="str">
        <f t="shared" si="447"/>
        <v>Contingency_SCC_opex</v>
      </c>
      <c r="I144" s="521">
        <v>137.19999999999999</v>
      </c>
      <c r="J144" s="4">
        <f t="shared" si="415"/>
        <v>1885275.0000000002</v>
      </c>
      <c r="K144" s="27"/>
      <c r="L144" s="60"/>
      <c r="M144" s="100">
        <f>CALC_Current_option!$D310*CALC_Int_on_loan_Other!Y$4</f>
        <v>358202.25</v>
      </c>
      <c r="N144" s="100">
        <f>CALC_Current_option!$D310*CALC_Int_on_loan_Other!Z$4</f>
        <v>603288.00000000012</v>
      </c>
      <c r="O144" s="100">
        <f>CALC_Current_option!$D310*CALC_Int_on_loan_Other!AA$4</f>
        <v>452466.00000000012</v>
      </c>
      <c r="P144" s="100">
        <f>CALC_Current_option!$D310*CALC_Int_on_loan_Other!AB$4</f>
        <v>301644.00000000006</v>
      </c>
      <c r="Q144" s="100">
        <f>CALC_Current_option!$D310*CALC_Int_on_loan_Other!AC$4</f>
        <v>150822.00000000003</v>
      </c>
      <c r="R144" s="698">
        <f>CALC_Current_option!$D310*CALC_Int_on_loan_Other!AD$4</f>
        <v>18852.750000000004</v>
      </c>
      <c r="S144" s="62">
        <f t="shared" ref="S144" si="516">SUM(L144:R144)</f>
        <v>1885275.0000000002</v>
      </c>
      <c r="T144" s="683">
        <f t="shared" si="480"/>
        <v>1717078.6885164524</v>
      </c>
      <c r="U144" s="701">
        <f>CALC_Int_on_loan_Other!$AI$15</f>
        <v>1</v>
      </c>
      <c r="V144" s="127"/>
      <c r="W144" s="17"/>
      <c r="X144" s="358"/>
      <c r="Y144" s="676">
        <f>SUMPRODUCT($S$140:$S$142,Y140:Y142)/(SUMPRODUCT($S$140:$S$142,Y140:Y142)+SUMPRODUCT($S$140:$S$142,Z140:Z142))</f>
        <v>0</v>
      </c>
      <c r="Z144" s="675">
        <f t="shared" si="478"/>
        <v>1</v>
      </c>
      <c r="AA144" s="359"/>
      <c r="AB144" s="17"/>
      <c r="AC144" s="17"/>
      <c r="AD144" s="17"/>
      <c r="AE144" s="134"/>
      <c r="AF144" s="134"/>
      <c r="AG144" s="127"/>
      <c r="AH144" s="284">
        <f t="shared" si="454"/>
        <v>137.19999999999999</v>
      </c>
      <c r="AI144" s="92">
        <f t="shared" si="419"/>
        <v>0</v>
      </c>
      <c r="AJ144" s="93">
        <f t="shared" si="420"/>
        <v>0</v>
      </c>
      <c r="AK144" s="93">
        <f t="shared" si="421"/>
        <v>0</v>
      </c>
      <c r="AL144" s="93">
        <f t="shared" si="422"/>
        <v>1885275.0000000002</v>
      </c>
      <c r="AM144" s="93">
        <f t="shared" si="423"/>
        <v>0</v>
      </c>
      <c r="AN144" s="93">
        <f t="shared" si="424"/>
        <v>0</v>
      </c>
      <c r="AO144" s="93">
        <f t="shared" si="425"/>
        <v>0</v>
      </c>
      <c r="AP144" s="51">
        <f t="shared" si="426"/>
        <v>0</v>
      </c>
      <c r="AQ144" s="770"/>
      <c r="AR144" s="135">
        <f t="shared" si="255"/>
        <v>1885275.0000000002</v>
      </c>
      <c r="AT144" s="135"/>
      <c r="AU144" s="127"/>
      <c r="AV144" s="132">
        <f t="shared" si="256"/>
        <v>0</v>
      </c>
      <c r="AW144" s="128">
        <f t="shared" si="257"/>
        <v>0</v>
      </c>
      <c r="AX144" s="128">
        <f t="shared" si="258"/>
        <v>0</v>
      </c>
      <c r="AY144" s="128">
        <f t="shared" si="259"/>
        <v>1717078.6885164524</v>
      </c>
      <c r="AZ144" s="128">
        <f t="shared" si="260"/>
        <v>0</v>
      </c>
      <c r="BA144" s="128">
        <f t="shared" si="261"/>
        <v>0</v>
      </c>
      <c r="BB144" s="128">
        <f t="shared" si="262"/>
        <v>0</v>
      </c>
      <c r="BC144" s="128">
        <f t="shared" si="263"/>
        <v>0</v>
      </c>
      <c r="BD144" s="127"/>
      <c r="BE144" s="136">
        <f t="shared" si="372"/>
        <v>1717078.6885164524</v>
      </c>
      <c r="BG144" t="str">
        <f t="shared" si="427"/>
        <v>Contingency_Interest on the Other Veh Type Loans - Contingency_SCC</v>
      </c>
      <c r="BJ144" s="133">
        <f t="shared" si="455"/>
        <v>0</v>
      </c>
      <c r="BK144" s="133">
        <f t="shared" si="448"/>
        <v>0</v>
      </c>
      <c r="BL144" s="133">
        <f t="shared" si="449"/>
        <v>0</v>
      </c>
      <c r="BM144" s="133">
        <f t="shared" si="450"/>
        <v>0</v>
      </c>
      <c r="BN144" s="133">
        <f t="shared" si="451"/>
        <v>0</v>
      </c>
      <c r="BO144" s="133">
        <f t="shared" si="452"/>
        <v>0</v>
      </c>
      <c r="BP144" s="133">
        <f t="shared" si="453"/>
        <v>0</v>
      </c>
      <c r="BR144" s="815"/>
    </row>
    <row r="145" spans="1:70" ht="45" customHeight="1" thickBot="1" x14ac:dyDescent="0.3">
      <c r="A145" s="32">
        <v>14</v>
      </c>
      <c r="B145" s="325" t="s">
        <v>0</v>
      </c>
      <c r="C145" s="326" t="s">
        <v>456</v>
      </c>
      <c r="D145" s="326" t="s">
        <v>37</v>
      </c>
      <c r="E145" s="326" t="str">
        <f t="shared" si="479"/>
        <v>CAZ_Charging revenue used to fund the Back Office_SCC</v>
      </c>
      <c r="F145" s="326" t="str">
        <f t="shared" si="265"/>
        <v>CAZ_SCC</v>
      </c>
      <c r="G145" s="330" t="s">
        <v>524</v>
      </c>
      <c r="H145" s="331" t="str">
        <f t="shared" si="447"/>
        <v>CAZ_SCC_opex</v>
      </c>
      <c r="I145" s="331">
        <v>138</v>
      </c>
      <c r="J145" s="4">
        <f t="shared" si="415"/>
        <v>-1200000</v>
      </c>
      <c r="K145" s="326"/>
      <c r="L145" s="32"/>
      <c r="M145" s="510"/>
      <c r="N145" s="510">
        <f>-MIN(N12,N162)*INP_Assumptions!$C$15</f>
        <v>-300000</v>
      </c>
      <c r="O145" s="510">
        <f>-MIN(O12,O162)*INP_Assumptions!$C$15</f>
        <v>-300000</v>
      </c>
      <c r="P145" s="510">
        <f>-MIN(P12,P162)*INP_Assumptions!$C$15</f>
        <v>-300000</v>
      </c>
      <c r="Q145" s="510">
        <f>-MIN(Q12,Q162)*INP_Assumptions!$C$15</f>
        <v>-300000</v>
      </c>
      <c r="R145" s="510"/>
      <c r="S145" s="30">
        <f t="shared" ref="S145" si="517">SUM(L145:R145)</f>
        <v>-1200000</v>
      </c>
      <c r="T145" s="30">
        <f t="shared" ref="T145" si="518">SUMPRODUCT(L145:R145,$L$3:$R$3)</f>
        <v>-1060159.7478684373</v>
      </c>
      <c r="U145" s="62"/>
      <c r="V145" s="60"/>
      <c r="W145" s="278">
        <f t="shared" ref="W145:AD146" si="519">W12</f>
        <v>0</v>
      </c>
      <c r="X145" s="278">
        <f t="shared" si="519"/>
        <v>0</v>
      </c>
      <c r="Y145" s="677">
        <f t="shared" si="519"/>
        <v>1</v>
      </c>
      <c r="Z145" s="278">
        <f t="shared" si="519"/>
        <v>0</v>
      </c>
      <c r="AA145" s="278">
        <f t="shared" si="519"/>
        <v>0</v>
      </c>
      <c r="AB145" s="278">
        <f t="shared" si="519"/>
        <v>0</v>
      </c>
      <c r="AC145" s="278">
        <f t="shared" si="519"/>
        <v>0</v>
      </c>
      <c r="AD145" s="278">
        <f t="shared" si="519"/>
        <v>0</v>
      </c>
      <c r="AE145" s="32"/>
      <c r="AF145" s="32"/>
      <c r="AG145" s="60"/>
      <c r="AH145" s="284">
        <f t="shared" si="454"/>
        <v>138</v>
      </c>
      <c r="AI145" s="92">
        <f t="shared" ref="AI145" si="520">$S145*W145</f>
        <v>0</v>
      </c>
      <c r="AJ145" s="93">
        <f t="shared" ref="AJ145" si="521">$S145*X145</f>
        <v>0</v>
      </c>
      <c r="AK145" s="93">
        <f t="shared" ref="AK145" si="522">$S145*Y145</f>
        <v>-1200000</v>
      </c>
      <c r="AL145" s="93">
        <f t="shared" ref="AL145" si="523">$S145*Z145</f>
        <v>0</v>
      </c>
      <c r="AM145" s="93">
        <f t="shared" ref="AM145" si="524">$S145*AA145</f>
        <v>0</v>
      </c>
      <c r="AN145" s="93">
        <f t="shared" ref="AN145" si="525">$S145*AB145</f>
        <v>0</v>
      </c>
      <c r="AO145" s="93">
        <f t="shared" ref="AO145" si="526">$S145*AC145</f>
        <v>0</v>
      </c>
      <c r="AP145" s="51">
        <f t="shared" ref="AP145" si="527">$S145*AD145</f>
        <v>0</v>
      </c>
      <c r="AQ145" s="770"/>
      <c r="AR145" s="135">
        <f t="shared" ref="AR145" si="528">SUM(AI145:AP145)</f>
        <v>-1200000</v>
      </c>
      <c r="AT145" s="135"/>
      <c r="AU145" s="127"/>
      <c r="AV145" s="132">
        <f t="shared" ref="AV145" si="529">$T145*W145</f>
        <v>0</v>
      </c>
      <c r="AW145" s="128">
        <f t="shared" ref="AW145" si="530">$T145*X145</f>
        <v>0</v>
      </c>
      <c r="AX145" s="128">
        <f t="shared" ref="AX145" si="531">$T145*Y145</f>
        <v>-1060159.7478684373</v>
      </c>
      <c r="AY145" s="128">
        <f t="shared" ref="AY145" si="532">$T145*Z145</f>
        <v>0</v>
      </c>
      <c r="AZ145" s="128">
        <f t="shared" ref="AZ145" si="533">$T145*AA145</f>
        <v>0</v>
      </c>
      <c r="BA145" s="128">
        <f t="shared" ref="BA145" si="534">$T145*AB145</f>
        <v>0</v>
      </c>
      <c r="BB145" s="128">
        <f t="shared" ref="BB145" si="535">$T145*AC145</f>
        <v>0</v>
      </c>
      <c r="BC145" s="128">
        <f t="shared" ref="BC145" si="536">$T145*AD145</f>
        <v>0</v>
      </c>
      <c r="BD145" s="127"/>
      <c r="BE145" s="136">
        <f t="shared" ref="BE145" si="537">SUM(AV145:BC145)</f>
        <v>-1060159.7478684373</v>
      </c>
      <c r="BG145" t="str">
        <f t="shared" si="427"/>
        <v>CAZ_Charging revenue used to fund the Back Office_SCC</v>
      </c>
      <c r="BJ145" s="133">
        <f t="shared" si="455"/>
        <v>0</v>
      </c>
      <c r="BK145" s="133">
        <f t="shared" si="448"/>
        <v>0</v>
      </c>
      <c r="BL145" s="133">
        <f t="shared" si="449"/>
        <v>0</v>
      </c>
      <c r="BM145" s="133">
        <f t="shared" si="450"/>
        <v>0</v>
      </c>
      <c r="BN145" s="133">
        <f t="shared" si="451"/>
        <v>0</v>
      </c>
      <c r="BO145" s="133">
        <f t="shared" si="452"/>
        <v>0</v>
      </c>
      <c r="BP145" s="133">
        <f t="shared" si="453"/>
        <v>0</v>
      </c>
      <c r="BR145" s="815"/>
    </row>
    <row r="146" spans="1:70" ht="45" customHeight="1" thickBot="1" x14ac:dyDescent="0.3">
      <c r="A146" s="32">
        <v>15</v>
      </c>
      <c r="B146" s="325" t="s">
        <v>0</v>
      </c>
      <c r="C146" s="326" t="s">
        <v>528</v>
      </c>
      <c r="D146" s="326" t="s">
        <v>37</v>
      </c>
      <c r="E146" s="326" t="str">
        <f t="shared" si="479"/>
        <v>CAZ_Charging revenue used to fund the removal of the cameras_SCC</v>
      </c>
      <c r="F146" s="326" t="str">
        <f t="shared" si="265"/>
        <v>CAZ_SCC</v>
      </c>
      <c r="G146" s="521" t="s">
        <v>523</v>
      </c>
      <c r="H146" s="331" t="str">
        <f t="shared" si="447"/>
        <v>CAZ_SCC_capex</v>
      </c>
      <c r="I146" s="331">
        <v>139</v>
      </c>
      <c r="J146" s="4">
        <f t="shared" si="415"/>
        <v>-405600</v>
      </c>
      <c r="K146" s="326"/>
      <c r="L146" s="32"/>
      <c r="M146" s="510"/>
      <c r="N146" s="510"/>
      <c r="O146" s="510"/>
      <c r="P146" s="510"/>
      <c r="Q146" s="510"/>
      <c r="R146" s="510">
        <f>-MIN(R13,R163)*INP_Assumptions!$C$15</f>
        <v>-405600</v>
      </c>
      <c r="S146" s="30">
        <f t="shared" ref="S146" si="538">SUM(L146:R146)</f>
        <v>-405600</v>
      </c>
      <c r="T146" s="30">
        <f t="shared" ref="T146" si="539">SUMPRODUCT(L146:R146,$L$3:$R$3)</f>
        <v>-327538.1007308655</v>
      </c>
      <c r="U146" s="62"/>
      <c r="V146" s="60"/>
      <c r="W146" s="278">
        <f t="shared" si="519"/>
        <v>0</v>
      </c>
      <c r="X146" s="278">
        <f t="shared" si="519"/>
        <v>0</v>
      </c>
      <c r="Y146" s="677">
        <f t="shared" si="519"/>
        <v>1</v>
      </c>
      <c r="Z146" s="278">
        <f t="shared" si="519"/>
        <v>0</v>
      </c>
      <c r="AA146" s="278">
        <f t="shared" si="519"/>
        <v>0</v>
      </c>
      <c r="AB146" s="278">
        <f t="shared" si="519"/>
        <v>0</v>
      </c>
      <c r="AC146" s="278">
        <f t="shared" si="519"/>
        <v>0</v>
      </c>
      <c r="AD146" s="278">
        <f t="shared" si="519"/>
        <v>0</v>
      </c>
      <c r="AE146" s="32"/>
      <c r="AF146" s="32"/>
      <c r="AG146" s="60"/>
      <c r="AH146" s="284">
        <f t="shared" si="454"/>
        <v>139</v>
      </c>
      <c r="AI146" s="92">
        <f t="shared" ref="AI146" si="540">$S146*W146</f>
        <v>0</v>
      </c>
      <c r="AJ146" s="93">
        <f t="shared" ref="AJ146" si="541">$S146*X146</f>
        <v>0</v>
      </c>
      <c r="AK146" s="93">
        <f t="shared" ref="AK146" si="542">$S146*Y146</f>
        <v>-405600</v>
      </c>
      <c r="AL146" s="93">
        <f t="shared" ref="AL146" si="543">$S146*Z146</f>
        <v>0</v>
      </c>
      <c r="AM146" s="93">
        <f t="shared" ref="AM146" si="544">$S146*AA146</f>
        <v>0</v>
      </c>
      <c r="AN146" s="93">
        <f t="shared" ref="AN146" si="545">$S146*AB146</f>
        <v>0</v>
      </c>
      <c r="AO146" s="93">
        <f t="shared" ref="AO146" si="546">$S146*AC146</f>
        <v>0</v>
      </c>
      <c r="AP146" s="51">
        <f t="shared" ref="AP146" si="547">$S146*AD146</f>
        <v>0</v>
      </c>
      <c r="AQ146" s="770"/>
      <c r="AR146" s="135">
        <f t="shared" ref="AR146" si="548">SUM(AI146:AP146)</f>
        <v>-405600</v>
      </c>
      <c r="AT146" s="135"/>
      <c r="AU146" s="127"/>
      <c r="AV146" s="132">
        <f t="shared" ref="AV146" si="549">$T146*W146</f>
        <v>0</v>
      </c>
      <c r="AW146" s="128">
        <f t="shared" ref="AW146" si="550">$T146*X146</f>
        <v>0</v>
      </c>
      <c r="AX146" s="128">
        <f t="shared" ref="AX146" si="551">$T146*Y146</f>
        <v>-327538.1007308655</v>
      </c>
      <c r="AY146" s="128">
        <f t="shared" ref="AY146" si="552">$T146*Z146</f>
        <v>0</v>
      </c>
      <c r="AZ146" s="128">
        <f t="shared" ref="AZ146" si="553">$T146*AA146</f>
        <v>0</v>
      </c>
      <c r="BA146" s="128">
        <f t="shared" ref="BA146" si="554">$T146*AB146</f>
        <v>0</v>
      </c>
      <c r="BB146" s="128">
        <f t="shared" ref="BB146" si="555">$T146*AC146</f>
        <v>0</v>
      </c>
      <c r="BC146" s="128">
        <f t="shared" ref="BC146" si="556">$T146*AD146</f>
        <v>0</v>
      </c>
      <c r="BD146" s="127"/>
      <c r="BE146" s="136">
        <f t="shared" ref="BE146" si="557">SUM(AV146:BC146)</f>
        <v>-327538.1007308655</v>
      </c>
      <c r="BG146" t="str">
        <f t="shared" si="427"/>
        <v>CAZ_Charging revenue used to fund the removal of the cameras_SCC</v>
      </c>
      <c r="BJ146" s="133">
        <f t="shared" si="455"/>
        <v>0</v>
      </c>
      <c r="BK146" s="133">
        <f t="shared" si="448"/>
        <v>0</v>
      </c>
      <c r="BL146" s="133">
        <f t="shared" si="449"/>
        <v>0</v>
      </c>
      <c r="BM146" s="133">
        <f t="shared" si="450"/>
        <v>0</v>
      </c>
      <c r="BN146" s="133">
        <f t="shared" si="451"/>
        <v>0</v>
      </c>
      <c r="BO146" s="133">
        <f t="shared" si="452"/>
        <v>0</v>
      </c>
      <c r="BP146" s="133">
        <f t="shared" si="453"/>
        <v>0</v>
      </c>
      <c r="BR146" s="815"/>
    </row>
    <row r="147" spans="1:70" ht="45" customHeight="1" thickBot="1" x14ac:dyDescent="0.3">
      <c r="A147" s="32"/>
      <c r="B147" s="325"/>
      <c r="C147" s="326"/>
      <c r="D147" s="326"/>
      <c r="E147" s="326"/>
      <c r="F147" s="326"/>
      <c r="G147" s="521"/>
      <c r="H147" s="331"/>
      <c r="I147" s="331"/>
      <c r="J147" s="4"/>
      <c r="K147" s="326"/>
      <c r="L147" s="32"/>
      <c r="M147" s="510"/>
      <c r="N147" s="510"/>
      <c r="O147" s="510"/>
      <c r="P147" s="510"/>
      <c r="Q147" s="510"/>
      <c r="R147" s="510"/>
      <c r="S147" s="30"/>
      <c r="T147" s="30"/>
      <c r="U147" s="62"/>
      <c r="V147" s="60"/>
      <c r="W147" s="278"/>
      <c r="X147" s="278"/>
      <c r="Y147" s="278"/>
      <c r="Z147" s="278"/>
      <c r="AA147" s="278"/>
      <c r="AB147" s="278"/>
      <c r="AC147" s="278"/>
      <c r="AD147" s="278"/>
      <c r="AE147" s="32"/>
      <c r="AF147" s="32"/>
      <c r="AG147" s="60"/>
      <c r="AH147" s="575"/>
      <c r="AI147" s="61"/>
      <c r="AJ147" s="61"/>
      <c r="AK147" s="61"/>
      <c r="AL147" s="61"/>
      <c r="AM147" s="61"/>
      <c r="AN147" s="61"/>
      <c r="AO147" s="61"/>
      <c r="AP147" s="61"/>
      <c r="AQ147" s="60"/>
      <c r="AR147" s="61"/>
      <c r="AT147" s="61"/>
      <c r="AU147" s="60"/>
      <c r="AV147" s="52"/>
      <c r="AW147" s="52"/>
      <c r="AX147" s="52"/>
      <c r="AY147" s="52"/>
      <c r="AZ147" s="52"/>
      <c r="BA147" s="52"/>
      <c r="BB147" s="52"/>
      <c r="BC147" s="52"/>
      <c r="BD147" s="60"/>
      <c r="BE147" s="585"/>
      <c r="BJ147" s="576">
        <f t="shared" ref="BJ147:BP147" si="558">SUM(BJ6:BJ146)</f>
        <v>2415000</v>
      </c>
      <c r="BK147" s="577">
        <f t="shared" si="558"/>
        <v>2550000</v>
      </c>
      <c r="BL147" s="577">
        <f t="shared" si="558"/>
        <v>330000</v>
      </c>
      <c r="BM147" s="577">
        <f t="shared" si="558"/>
        <v>0</v>
      </c>
      <c r="BN147" s="577">
        <f t="shared" si="558"/>
        <v>0</v>
      </c>
      <c r="BO147" s="577">
        <f t="shared" si="558"/>
        <v>0</v>
      </c>
      <c r="BP147" s="578">
        <f t="shared" si="558"/>
        <v>0</v>
      </c>
      <c r="BR147" s="815"/>
    </row>
    <row r="148" spans="1:70" ht="45" customHeight="1" thickBot="1" x14ac:dyDescent="0.3">
      <c r="A148" s="32"/>
      <c r="B148" s="325"/>
      <c r="C148" s="326"/>
      <c r="D148" s="326"/>
      <c r="E148" s="326"/>
      <c r="F148" s="326"/>
      <c r="G148" s="521"/>
      <c r="H148" s="331"/>
      <c r="I148" s="331"/>
      <c r="J148" s="4"/>
      <c r="K148" s="1" t="str">
        <f>W1</f>
        <v>Early Measures Fund</v>
      </c>
      <c r="L148" s="44">
        <f t="shared" ref="L148:R148" si="559">SUMPRODUCT(L$6:L$146,$W$6:$W$146)</f>
        <v>1952100</v>
      </c>
      <c r="M148" s="579">
        <f t="shared" si="559"/>
        <v>0</v>
      </c>
      <c r="N148" s="579">
        <f t="shared" si="559"/>
        <v>0</v>
      </c>
      <c r="O148" s="579">
        <f t="shared" si="559"/>
        <v>0</v>
      </c>
      <c r="P148" s="579">
        <f t="shared" si="559"/>
        <v>0</v>
      </c>
      <c r="Q148" s="579">
        <f t="shared" si="559"/>
        <v>0</v>
      </c>
      <c r="R148" s="580">
        <f t="shared" si="559"/>
        <v>0</v>
      </c>
      <c r="S148" s="133">
        <f>SUM(L148:R148)</f>
        <v>1952100</v>
      </c>
      <c r="T148" s="30"/>
      <c r="U148" s="62"/>
      <c r="V148" s="60"/>
      <c r="W148" s="278"/>
      <c r="X148" s="278"/>
      <c r="Y148" s="278"/>
      <c r="Z148" s="278"/>
      <c r="AA148" s="278"/>
      <c r="AB148" s="278"/>
      <c r="AC148" s="278"/>
      <c r="AD148" s="278"/>
      <c r="AE148" s="32"/>
      <c r="AF148" s="32"/>
      <c r="AG148" s="60"/>
      <c r="AH148" s="575"/>
      <c r="AI148" s="61"/>
      <c r="AJ148" s="61"/>
      <c r="AK148" s="61"/>
      <c r="AL148" s="61"/>
      <c r="AM148" s="61"/>
      <c r="AN148" s="61"/>
      <c r="AO148" s="61"/>
      <c r="AP148" s="61"/>
      <c r="AQ148" s="60"/>
      <c r="AR148" s="61"/>
      <c r="AT148" s="61"/>
      <c r="AU148" s="60"/>
      <c r="AV148" s="52"/>
      <c r="AW148" s="52"/>
      <c r="AX148" s="52"/>
      <c r="AY148" s="52"/>
      <c r="AZ148" s="52"/>
      <c r="BA148" s="52"/>
      <c r="BB148" s="52"/>
      <c r="BC148" s="52"/>
      <c r="BD148" s="60"/>
      <c r="BE148" s="585"/>
      <c r="BJ148" s="133"/>
      <c r="BK148" s="133"/>
      <c r="BL148" s="133"/>
      <c r="BM148" s="133"/>
      <c r="BN148" s="133"/>
      <c r="BO148" s="133"/>
      <c r="BP148" s="133"/>
    </row>
    <row r="149" spans="1:70" ht="45" customHeight="1" thickBot="1" x14ac:dyDescent="0.3">
      <c r="A149" s="32"/>
      <c r="B149" s="325"/>
      <c r="C149" s="326"/>
      <c r="D149" s="326"/>
      <c r="E149" s="326"/>
      <c r="F149" s="326"/>
      <c r="G149" s="521"/>
      <c r="H149" s="331"/>
      <c r="I149" s="331"/>
      <c r="J149" s="4"/>
      <c r="K149" s="1" t="str">
        <f>X1</f>
        <v>OLEV Funding</v>
      </c>
      <c r="L149" s="44">
        <f t="shared" ref="L149:R149" si="560">SUMPRODUCT(L$6:L$146,$X$6:$X$146)</f>
        <v>15000</v>
      </c>
      <c r="M149" s="579">
        <f t="shared" si="560"/>
        <v>907500</v>
      </c>
      <c r="N149" s="579">
        <f t="shared" si="560"/>
        <v>990000</v>
      </c>
      <c r="O149" s="579">
        <f t="shared" si="560"/>
        <v>0</v>
      </c>
      <c r="P149" s="579">
        <f t="shared" si="560"/>
        <v>0</v>
      </c>
      <c r="Q149" s="579">
        <f t="shared" si="560"/>
        <v>0</v>
      </c>
      <c r="R149" s="580">
        <f t="shared" si="560"/>
        <v>0</v>
      </c>
      <c r="S149" s="133">
        <f t="shared" ref="S149:S154" si="561">SUM(L149:R149)</f>
        <v>1912500</v>
      </c>
      <c r="T149" s="30"/>
      <c r="U149" s="62"/>
      <c r="V149" s="60"/>
      <c r="W149" s="278"/>
      <c r="X149" s="278"/>
      <c r="Y149" s="278"/>
      <c r="Z149" s="278"/>
      <c r="AA149" s="278"/>
      <c r="AB149" s="278"/>
      <c r="AC149" s="278"/>
      <c r="AD149" s="278"/>
      <c r="AE149" s="32"/>
      <c r="AF149" s="32"/>
      <c r="AG149" s="60"/>
      <c r="AH149" s="575"/>
      <c r="AI149" s="61"/>
      <c r="AJ149" s="61"/>
      <c r="AK149" s="61"/>
      <c r="AL149" s="61"/>
      <c r="AM149" s="61"/>
      <c r="AN149" s="61"/>
      <c r="AO149" s="61"/>
      <c r="AP149" s="61"/>
      <c r="AQ149" s="60"/>
      <c r="AR149" s="61"/>
      <c r="AT149" s="61"/>
      <c r="AU149" s="60"/>
      <c r="AV149" s="52"/>
      <c r="AW149" s="52"/>
      <c r="AX149" s="52"/>
      <c r="AY149" s="52"/>
      <c r="AZ149" s="52"/>
      <c r="BA149" s="52"/>
      <c r="BB149" s="52"/>
      <c r="BC149" s="52"/>
      <c r="BD149" s="60"/>
      <c r="BE149" s="585"/>
      <c r="BJ149" s="133"/>
      <c r="BK149" s="133"/>
      <c r="BL149" s="133"/>
      <c r="BM149" s="133"/>
      <c r="BN149" s="133"/>
      <c r="BO149" s="133"/>
      <c r="BP149" s="133"/>
    </row>
    <row r="150" spans="1:70" ht="45" customHeight="1" thickBot="1" x14ac:dyDescent="0.3">
      <c r="A150" s="32"/>
      <c r="B150" s="325"/>
      <c r="C150" s="326"/>
      <c r="D150" s="326"/>
      <c r="E150" s="326"/>
      <c r="F150" s="326"/>
      <c r="G150" s="521"/>
      <c r="H150" s="331"/>
      <c r="I150" s="331"/>
      <c r="J150" s="4"/>
      <c r="K150" s="1" t="str">
        <f>Y1</f>
        <v>Implementation Fund</v>
      </c>
      <c r="L150" s="44">
        <f t="shared" ref="L150:R150" si="562">SUMPRODUCT(L$6:L$146,$Y$6:$Y$146)</f>
        <v>2785976</v>
      </c>
      <c r="M150" s="579">
        <f t="shared" si="562"/>
        <v>11152543.720800001</v>
      </c>
      <c r="N150" s="579">
        <f t="shared" si="562"/>
        <v>6189344.5824000007</v>
      </c>
      <c r="O150" s="579">
        <f t="shared" si="562"/>
        <v>4063871.4368000012</v>
      </c>
      <c r="P150" s="579">
        <f t="shared" si="562"/>
        <v>2472114.2912000003</v>
      </c>
      <c r="Q150" s="579">
        <f t="shared" si="562"/>
        <v>1344057.1456000002</v>
      </c>
      <c r="R150" s="580">
        <f t="shared" si="562"/>
        <v>141007.14320000005</v>
      </c>
      <c r="S150" s="133">
        <f t="shared" si="561"/>
        <v>28148914.32</v>
      </c>
      <c r="T150" s="30"/>
      <c r="U150" s="62"/>
      <c r="V150" s="60"/>
      <c r="W150" s="278"/>
      <c r="X150" s="278"/>
      <c r="Y150" s="278"/>
      <c r="Z150" s="278"/>
      <c r="AA150" s="278"/>
      <c r="AB150" s="278"/>
      <c r="AC150" s="278"/>
      <c r="AD150" s="278"/>
      <c r="AE150" s="32"/>
      <c r="AF150" s="32"/>
      <c r="AG150" s="60"/>
      <c r="AH150" s="575"/>
      <c r="AI150" s="61"/>
      <c r="AJ150" s="61"/>
      <c r="AK150" s="61"/>
      <c r="AL150" s="61"/>
      <c r="AM150" s="61"/>
      <c r="AN150" s="61"/>
      <c r="AO150" s="61"/>
      <c r="AP150" s="61"/>
      <c r="AQ150" s="60"/>
      <c r="AR150" s="61"/>
      <c r="AT150" s="61"/>
      <c r="AU150" s="60"/>
      <c r="AV150" s="52"/>
      <c r="AW150" s="52"/>
      <c r="AX150" s="52"/>
      <c r="AY150" s="52"/>
      <c r="AZ150" s="52"/>
      <c r="BA150" s="52"/>
      <c r="BB150" s="52"/>
      <c r="BC150" s="52"/>
      <c r="BD150" s="60"/>
      <c r="BE150" s="585"/>
      <c r="BJ150" s="133"/>
      <c r="BK150" s="133"/>
      <c r="BL150" s="133"/>
      <c r="BM150" s="133"/>
      <c r="BN150" s="133"/>
      <c r="BO150" s="133"/>
      <c r="BP150" s="133"/>
    </row>
    <row r="151" spans="1:70" ht="45" customHeight="1" thickBot="1" x14ac:dyDescent="0.3">
      <c r="A151" s="32"/>
      <c r="B151" s="325"/>
      <c r="C151" s="326"/>
      <c r="D151" s="326"/>
      <c r="E151" s="326"/>
      <c r="F151" s="326"/>
      <c r="G151" s="521"/>
      <c r="H151" s="331"/>
      <c r="I151" s="331"/>
      <c r="J151" s="4"/>
      <c r="K151" s="1" t="str">
        <f>Z1</f>
        <v>Clean Air Fund</v>
      </c>
      <c r="L151" s="44">
        <f t="shared" ref="L151:R151" si="563">SUMPRODUCT(L$6:L$146,$Z$6:$Z$146)</f>
        <v>924156.75</v>
      </c>
      <c r="M151" s="579">
        <f t="shared" si="563"/>
        <v>4340649</v>
      </c>
      <c r="N151" s="579">
        <f t="shared" si="563"/>
        <v>4405405.5</v>
      </c>
      <c r="O151" s="579">
        <f t="shared" si="563"/>
        <v>2632770.0000000005</v>
      </c>
      <c r="P151" s="579">
        <f t="shared" si="563"/>
        <v>1755180.0000000002</v>
      </c>
      <c r="Q151" s="579">
        <f t="shared" si="563"/>
        <v>877590.00000000012</v>
      </c>
      <c r="R151" s="580">
        <f t="shared" si="563"/>
        <v>109698.75000000001</v>
      </c>
      <c r="S151" s="133">
        <f t="shared" si="561"/>
        <v>15045450</v>
      </c>
      <c r="T151" s="30"/>
      <c r="U151" s="62"/>
      <c r="V151" s="60"/>
      <c r="W151" s="278"/>
      <c r="X151" s="278"/>
      <c r="Y151" s="278"/>
      <c r="Z151" s="278"/>
      <c r="AA151" s="278"/>
      <c r="AB151" s="278"/>
      <c r="AC151" s="278"/>
      <c r="AD151" s="278"/>
      <c r="AE151" s="32"/>
      <c r="AF151" s="32"/>
      <c r="AG151" s="60"/>
      <c r="AH151" s="575"/>
      <c r="AI151" s="61"/>
      <c r="AJ151" s="61"/>
      <c r="AK151" s="61"/>
      <c r="AL151" s="61"/>
      <c r="AM151" s="61"/>
      <c r="AN151" s="61"/>
      <c r="AO151" s="61"/>
      <c r="AP151" s="61"/>
      <c r="AQ151" s="60"/>
      <c r="AR151" s="61"/>
      <c r="AT151" s="61"/>
      <c r="AU151" s="60"/>
      <c r="AV151" s="52"/>
      <c r="AW151" s="52"/>
      <c r="AX151" s="52"/>
      <c r="AY151" s="52"/>
      <c r="AZ151" s="52"/>
      <c r="BA151" s="52"/>
      <c r="BB151" s="52"/>
      <c r="BC151" s="52"/>
      <c r="BD151" s="60"/>
      <c r="BE151" s="585"/>
      <c r="BJ151" s="133"/>
      <c r="BK151" s="133"/>
      <c r="BL151" s="133"/>
      <c r="BM151" s="133"/>
      <c r="BN151" s="133"/>
      <c r="BO151" s="133"/>
      <c r="BP151" s="133"/>
    </row>
    <row r="152" spans="1:70" ht="45" customHeight="1" thickBot="1" x14ac:dyDescent="0.3">
      <c r="A152" s="32"/>
      <c r="B152" s="325"/>
      <c r="C152" s="326"/>
      <c r="D152" s="326"/>
      <c r="E152" s="326"/>
      <c r="F152" s="326"/>
      <c r="G152" s="521"/>
      <c r="H152" s="331"/>
      <c r="I152" s="331"/>
      <c r="J152" s="4"/>
      <c r="K152" s="1" t="str">
        <f>AA1</f>
        <v>Other Government Funding</v>
      </c>
      <c r="L152" s="581">
        <f t="shared" ref="L152:R152" si="564">SUMPRODUCT(L$6:L$146,$AA$6:$AA$146)</f>
        <v>3000000</v>
      </c>
      <c r="M152" s="24">
        <f t="shared" si="564"/>
        <v>0</v>
      </c>
      <c r="N152" s="24">
        <f t="shared" si="564"/>
        <v>0</v>
      </c>
      <c r="O152" s="24">
        <f t="shared" si="564"/>
        <v>0</v>
      </c>
      <c r="P152" s="24">
        <f t="shared" si="564"/>
        <v>0</v>
      </c>
      <c r="Q152" s="24">
        <f t="shared" si="564"/>
        <v>0</v>
      </c>
      <c r="R152" s="25">
        <f t="shared" si="564"/>
        <v>0</v>
      </c>
      <c r="S152" s="133">
        <f t="shared" si="561"/>
        <v>3000000</v>
      </c>
      <c r="T152" s="30"/>
      <c r="U152" s="62"/>
      <c r="V152" s="60"/>
      <c r="W152" s="278"/>
      <c r="X152" s="278"/>
      <c r="Y152" s="278"/>
      <c r="Z152" s="278"/>
      <c r="AA152" s="278"/>
      <c r="AB152" s="278"/>
      <c r="AC152" s="278"/>
      <c r="AD152" s="278"/>
      <c r="AE152" s="32"/>
      <c r="AF152" s="32"/>
      <c r="AG152" s="60"/>
      <c r="AH152" s="575"/>
      <c r="AI152" s="61"/>
      <c r="AJ152" s="61"/>
      <c r="AK152" s="61"/>
      <c r="AL152" s="61"/>
      <c r="AM152" s="61"/>
      <c r="AN152" s="61"/>
      <c r="AO152" s="61"/>
      <c r="AP152" s="61"/>
      <c r="AQ152" s="60"/>
      <c r="AR152" s="61"/>
      <c r="AT152" s="61"/>
      <c r="AU152" s="60"/>
      <c r="AV152" s="52"/>
      <c r="AW152" s="52"/>
      <c r="AX152" s="52"/>
      <c r="AY152" s="52"/>
      <c r="AZ152" s="52"/>
      <c r="BA152" s="52"/>
      <c r="BB152" s="52"/>
      <c r="BC152" s="52"/>
      <c r="BD152" s="60"/>
      <c r="BE152" s="585"/>
      <c r="BJ152" s="133"/>
      <c r="BK152" s="133"/>
      <c r="BL152" s="133"/>
      <c r="BM152" s="133"/>
      <c r="BN152" s="133"/>
      <c r="BO152" s="133"/>
      <c r="BP152" s="133"/>
    </row>
    <row r="153" spans="1:70" ht="45" customHeight="1" thickBot="1" x14ac:dyDescent="0.3">
      <c r="A153" s="32"/>
      <c r="B153" s="325"/>
      <c r="C153" s="326"/>
      <c r="D153" s="326"/>
      <c r="E153" s="326"/>
      <c r="F153" s="326"/>
      <c r="G153" s="521"/>
      <c r="H153" s="331"/>
      <c r="I153" s="331"/>
      <c r="J153" s="4"/>
      <c r="K153" s="1" t="str">
        <f>AB1</f>
        <v>Council Funded</v>
      </c>
      <c r="L153" s="581">
        <f t="shared" ref="L153:R153" si="565">SUMPRODUCT(L$6:L$146,$AB$6:$AB$146)</f>
        <v>0</v>
      </c>
      <c r="M153" s="24">
        <f t="shared" si="565"/>
        <v>262500</v>
      </c>
      <c r="N153" s="24">
        <f t="shared" si="565"/>
        <v>0</v>
      </c>
      <c r="O153" s="24">
        <f t="shared" si="565"/>
        <v>0</v>
      </c>
      <c r="P153" s="24">
        <f t="shared" si="565"/>
        <v>0</v>
      </c>
      <c r="Q153" s="24">
        <f t="shared" si="565"/>
        <v>0</v>
      </c>
      <c r="R153" s="25">
        <f t="shared" si="565"/>
        <v>0</v>
      </c>
      <c r="S153" s="133">
        <f t="shared" si="561"/>
        <v>262500</v>
      </c>
      <c r="T153" s="30"/>
      <c r="U153" s="62"/>
      <c r="V153" s="60"/>
      <c r="W153" s="278"/>
      <c r="X153" s="278"/>
      <c r="Y153" s="278"/>
      <c r="Z153" s="278"/>
      <c r="AA153" s="278"/>
      <c r="AB153" s="278"/>
      <c r="AC153" s="278"/>
      <c r="AD153" s="278"/>
      <c r="AE153" s="32"/>
      <c r="AF153" s="32"/>
      <c r="AG153" s="60"/>
      <c r="AH153" s="575"/>
      <c r="AI153" s="61"/>
      <c r="AJ153" s="61"/>
      <c r="AK153" s="61"/>
      <c r="AL153" s="61"/>
      <c r="AM153" s="61"/>
      <c r="AN153" s="61"/>
      <c r="AO153" s="61"/>
      <c r="AP153" s="61"/>
      <c r="AQ153" s="60"/>
      <c r="AR153" s="61"/>
      <c r="AT153" s="61"/>
      <c r="AU153" s="60"/>
      <c r="AV153" s="52"/>
      <c r="AW153" s="52"/>
      <c r="AX153" s="52"/>
      <c r="AY153" s="52"/>
      <c r="AZ153" s="52"/>
      <c r="BA153" s="52"/>
      <c r="BB153" s="52"/>
      <c r="BC153" s="52"/>
      <c r="BD153" s="60"/>
      <c r="BE153" s="585"/>
      <c r="BJ153" s="133"/>
      <c r="BK153" s="133"/>
      <c r="BL153" s="133"/>
      <c r="BM153" s="133"/>
      <c r="BN153" s="133"/>
      <c r="BO153" s="133"/>
      <c r="BP153" s="133"/>
    </row>
    <row r="154" spans="1:70" ht="45" customHeight="1" thickBot="1" x14ac:dyDescent="0.3">
      <c r="A154" s="32"/>
      <c r="B154" s="325"/>
      <c r="C154" s="326"/>
      <c r="D154" s="326"/>
      <c r="E154" s="326"/>
      <c r="F154" s="326"/>
      <c r="G154" s="521"/>
      <c r="H154" s="331"/>
      <c r="I154" s="331"/>
      <c r="J154" s="4"/>
      <c r="K154" s="1" t="str">
        <f>AC1</f>
        <v>Private Sector Funded</v>
      </c>
      <c r="L154" s="44">
        <f t="shared" ref="L154:R154" si="566">SUMPRODUCT(L$6:L$146,$AC$6:$AC$146)</f>
        <v>27408981.25</v>
      </c>
      <c r="M154" s="579">
        <f t="shared" si="566"/>
        <v>65222854.41780822</v>
      </c>
      <c r="N154" s="579">
        <f t="shared" si="566"/>
        <v>25402075</v>
      </c>
      <c r="O154" s="579">
        <f t="shared" si="566"/>
        <v>-1239791.666666667</v>
      </c>
      <c r="P154" s="579">
        <f t="shared" si="566"/>
        <v>-1741058.333333333</v>
      </c>
      <c r="Q154" s="579">
        <f t="shared" si="566"/>
        <v>-2248468.3561643832</v>
      </c>
      <c r="R154" s="580">
        <f t="shared" si="566"/>
        <v>-110524400</v>
      </c>
      <c r="S154" s="133">
        <f t="shared" si="561"/>
        <v>2280192.3116438389</v>
      </c>
      <c r="T154" s="30"/>
      <c r="U154" s="62"/>
      <c r="V154" s="60"/>
      <c r="W154" s="278"/>
      <c r="X154" s="278"/>
      <c r="Y154" s="278"/>
      <c r="Z154" s="278"/>
      <c r="AA154" s="278"/>
      <c r="AB154" s="278"/>
      <c r="AC154" s="278"/>
      <c r="AD154" s="278"/>
      <c r="AE154" s="32"/>
      <c r="AF154" s="32"/>
      <c r="AG154" s="60"/>
      <c r="AH154" s="575"/>
      <c r="AI154" s="61"/>
      <c r="AJ154" s="61"/>
      <c r="AK154" s="61"/>
      <c r="AL154" s="61"/>
      <c r="AM154" s="61"/>
      <c r="AN154" s="61"/>
      <c r="AO154" s="61"/>
      <c r="AP154" s="61"/>
      <c r="AQ154" s="60"/>
      <c r="AR154" s="61"/>
      <c r="AT154" s="61"/>
      <c r="AU154" s="60"/>
      <c r="AV154" s="52"/>
      <c r="AW154" s="52"/>
      <c r="AX154" s="52"/>
      <c r="AY154" s="52"/>
      <c r="AZ154" s="52"/>
      <c r="BA154" s="52"/>
      <c r="BB154" s="52"/>
      <c r="BC154" s="52"/>
      <c r="BD154" s="60"/>
      <c r="BE154" s="585"/>
      <c r="BJ154" s="133"/>
      <c r="BK154" s="133"/>
      <c r="BL154" s="133"/>
      <c r="BM154" s="133"/>
      <c r="BN154" s="133"/>
      <c r="BO154" s="133"/>
      <c r="BP154" s="133"/>
    </row>
    <row r="155" spans="1:70" ht="45" customHeight="1" x14ac:dyDescent="0.25">
      <c r="A155" s="32"/>
      <c r="B155" s="325"/>
      <c r="C155" s="326"/>
      <c r="D155" s="326"/>
      <c r="E155" s="326"/>
      <c r="F155" s="326"/>
      <c r="G155" s="521"/>
      <c r="H155" s="331"/>
      <c r="I155" s="331"/>
      <c r="J155" s="4"/>
      <c r="S155" s="133">
        <f>SUM(S148:S154)</f>
        <v>52601656.631643839</v>
      </c>
      <c r="T155" s="30"/>
      <c r="U155" s="62"/>
      <c r="V155" s="60"/>
      <c r="W155" s="278"/>
      <c r="X155" s="278"/>
      <c r="Y155" s="278"/>
      <c r="Z155" s="278"/>
      <c r="AA155" s="278"/>
      <c r="AB155" s="278"/>
      <c r="AC155" s="278"/>
      <c r="AD155" s="278"/>
      <c r="AE155" s="32"/>
      <c r="AF155" s="32"/>
      <c r="AG155" s="60"/>
      <c r="AH155" s="575"/>
      <c r="AI155" s="61"/>
      <c r="AJ155" s="61"/>
      <c r="AK155" s="61"/>
      <c r="AL155" s="61"/>
      <c r="AM155" s="61"/>
      <c r="AN155" s="61"/>
      <c r="AO155" s="61"/>
      <c r="AP155" s="61"/>
      <c r="AQ155" s="60"/>
      <c r="AR155" s="61"/>
      <c r="AT155" s="61"/>
      <c r="AU155" s="60"/>
      <c r="AV155" s="52"/>
      <c r="AW155" s="52"/>
      <c r="AX155" s="52"/>
      <c r="AY155" s="52"/>
      <c r="AZ155" s="52"/>
      <c r="BA155" s="52"/>
      <c r="BB155" s="52"/>
      <c r="BC155" s="52"/>
      <c r="BD155" s="60"/>
      <c r="BE155" s="585"/>
      <c r="BJ155" s="133"/>
      <c r="BK155" s="133"/>
      <c r="BL155" s="133"/>
      <c r="BM155" s="133"/>
      <c r="BN155" s="133"/>
      <c r="BO155" s="133"/>
      <c r="BP155" s="133"/>
    </row>
    <row r="156" spans="1:70" ht="15" customHeight="1" thickBot="1" x14ac:dyDescent="0.3">
      <c r="B156" t="s">
        <v>352</v>
      </c>
      <c r="G156" s="333"/>
      <c r="H156" s="333"/>
      <c r="I156" s="331"/>
      <c r="J156" s="4"/>
      <c r="AH156" s="284"/>
      <c r="AV156" s="133"/>
      <c r="AW156" s="133"/>
      <c r="AX156" s="133"/>
      <c r="AY156" s="133"/>
      <c r="AZ156" s="133"/>
      <c r="BA156" s="133"/>
      <c r="BB156" s="133"/>
      <c r="BC156" s="133"/>
      <c r="BJ156" s="133"/>
      <c r="BK156" s="133"/>
      <c r="BL156" s="133"/>
      <c r="BM156" s="133"/>
      <c r="BN156" s="133"/>
      <c r="BO156" s="133"/>
      <c r="BP156" s="133"/>
    </row>
    <row r="157" spans="1:70" ht="34.5" customHeight="1" thickBot="1" x14ac:dyDescent="0.3">
      <c r="A157" s="517">
        <v>1</v>
      </c>
      <c r="B157" t="s">
        <v>352</v>
      </c>
      <c r="C157" s="1" t="s">
        <v>353</v>
      </c>
      <c r="D157" s="1" t="s">
        <v>41</v>
      </c>
      <c r="E157" s="1" t="str">
        <f t="shared" ref="E157:E160" si="567">CONCATENATE(B157,"_",C157,"_",D157)</f>
        <v>Revenue_Charges paid by cars_Combined</v>
      </c>
      <c r="F157" s="1" t="str">
        <f t="shared" ref="F157:F160" si="568">CONCATENATE(B157,"_",D157)</f>
        <v>Revenue_Combined</v>
      </c>
      <c r="G157" s="330" t="s">
        <v>352</v>
      </c>
      <c r="H157" s="331" t="str">
        <f t="shared" si="447"/>
        <v>Revenue_Combined_Revenue</v>
      </c>
      <c r="I157" s="331">
        <v>143</v>
      </c>
      <c r="J157" s="4"/>
      <c r="L157" s="6"/>
      <c r="M157" s="6"/>
      <c r="N157" s="101">
        <f>SUM(N24:N26)</f>
        <v>0</v>
      </c>
      <c r="O157" s="28">
        <f>SUM(O24:O26)</f>
        <v>0</v>
      </c>
      <c r="P157" s="28">
        <f>SUM(P24:P26)</f>
        <v>0</v>
      </c>
      <c r="Q157" s="29">
        <f>SUM(Q24:Q26)</f>
        <v>0</v>
      </c>
      <c r="S157" s="3">
        <f t="shared" ref="S157" si="569">SUM(L157:R157)</f>
        <v>0</v>
      </c>
      <c r="T157" s="3">
        <f t="shared" ref="T157" si="570">SUMPRODUCT(L157:R157,$L$3:$R$3)</f>
        <v>0</v>
      </c>
      <c r="U157" s="3"/>
      <c r="W157" s="13"/>
      <c r="X157" s="14"/>
      <c r="Y157" s="661">
        <f>INP_Assumptions!$C$14</f>
        <v>0.05</v>
      </c>
      <c r="Z157" s="14"/>
      <c r="AA157" s="14"/>
      <c r="AB157" s="74">
        <f>1-SUM(Y157:AA157)</f>
        <v>0.95</v>
      </c>
      <c r="AC157" s="14"/>
      <c r="AD157" s="15"/>
      <c r="AE157" s="32"/>
      <c r="AF157" s="32"/>
      <c r="AH157" s="284">
        <f>I157</f>
        <v>143</v>
      </c>
      <c r="AI157" s="90">
        <f t="shared" ref="AI157" si="571">$S157*W157</f>
        <v>0</v>
      </c>
      <c r="AJ157" s="91">
        <f t="shared" ref="AJ157" si="572">$S157*X157</f>
        <v>0</v>
      </c>
      <c r="AK157" s="91">
        <f t="shared" ref="AK157" si="573">$S157*Y157</f>
        <v>0</v>
      </c>
      <c r="AL157" s="91">
        <f t="shared" ref="AL157" si="574">$S157*Z157</f>
        <v>0</v>
      </c>
      <c r="AM157" s="91">
        <f t="shared" ref="AM157" si="575">$S157*AA157</f>
        <v>0</v>
      </c>
      <c r="AN157" s="91">
        <f t="shared" ref="AN157" si="576">$S157*AB157</f>
        <v>0</v>
      </c>
      <c r="AO157" s="91">
        <f t="shared" ref="AO157" si="577">$S157*AC157</f>
        <v>0</v>
      </c>
      <c r="AP157" s="50">
        <f t="shared" ref="AP157" si="578">$S157*AD157</f>
        <v>0</v>
      </c>
      <c r="AR157" s="4">
        <f t="shared" ref="AR157" si="579">SUM(AI157:AP157)</f>
        <v>0</v>
      </c>
      <c r="AT157" s="4"/>
      <c r="AV157" s="131">
        <f t="shared" ref="AV157" si="580">$T157*W157</f>
        <v>0</v>
      </c>
      <c r="AW157" s="100">
        <f t="shared" ref="AW157" si="581">$T157*X157</f>
        <v>0</v>
      </c>
      <c r="AX157" s="100">
        <f t="shared" ref="AX157" si="582">$T157*Y157</f>
        <v>0</v>
      </c>
      <c r="AY157" s="100">
        <f t="shared" ref="AY157" si="583">$T157*Z157</f>
        <v>0</v>
      </c>
      <c r="AZ157" s="100">
        <f t="shared" ref="AZ157" si="584">$T157*AA157</f>
        <v>0</v>
      </c>
      <c r="BA157" s="100">
        <f t="shared" ref="BA157" si="585">$T157*AB157</f>
        <v>0</v>
      </c>
      <c r="BB157" s="100">
        <f t="shared" ref="BB157" si="586">$T157*AC157</f>
        <v>0</v>
      </c>
      <c r="BC157" s="100">
        <f t="shared" ref="BC157" si="587">$T157*AD157</f>
        <v>0</v>
      </c>
      <c r="BE157" s="96">
        <f>SUM(AV157:BC157)</f>
        <v>0</v>
      </c>
      <c r="BJ157" s="133"/>
      <c r="BK157" s="133"/>
      <c r="BL157" s="133"/>
      <c r="BM157" s="133"/>
      <c r="BN157" s="133"/>
      <c r="BO157" s="133"/>
      <c r="BP157" s="133"/>
    </row>
    <row r="158" spans="1:70" ht="34.5" customHeight="1" thickBot="1" x14ac:dyDescent="0.3">
      <c r="A158" s="1">
        <v>2</v>
      </c>
      <c r="B158" t="s">
        <v>352</v>
      </c>
      <c r="C158" s="1" t="s">
        <v>358</v>
      </c>
      <c r="D158" s="1" t="s">
        <v>41</v>
      </c>
      <c r="E158" s="1" t="str">
        <f t="shared" si="567"/>
        <v>Revenue_Charges paid by taxis_Combined</v>
      </c>
      <c r="F158" s="1" t="str">
        <f t="shared" si="568"/>
        <v>Revenue_Combined</v>
      </c>
      <c r="G158" s="330" t="s">
        <v>352</v>
      </c>
      <c r="H158" s="331" t="str">
        <f t="shared" si="447"/>
        <v>Revenue_Combined_Revenue</v>
      </c>
      <c r="I158" s="331">
        <v>144</v>
      </c>
      <c r="J158" s="4"/>
      <c r="L158" s="6"/>
      <c r="M158" s="6"/>
      <c r="N158" s="107">
        <f>N35+N36</f>
        <v>486200</v>
      </c>
      <c r="O158" s="108">
        <f>O35+O36</f>
        <v>486200</v>
      </c>
      <c r="P158" s="108">
        <f>P35+P36</f>
        <v>486200</v>
      </c>
      <c r="Q158" s="109">
        <f>Q35+Q36</f>
        <v>487532.05479452061</v>
      </c>
      <c r="S158" s="3">
        <f t="shared" ref="S158" si="588">SUM(L158:R158)</f>
        <v>1946132.0547945206</v>
      </c>
      <c r="T158" s="3">
        <f t="shared" ref="T158" si="589">SUMPRODUCT(L158:R158,$L$3:$R$3)</f>
        <v>1719280.2663949449</v>
      </c>
      <c r="U158" s="3"/>
      <c r="W158" s="13"/>
      <c r="X158" s="14"/>
      <c r="Y158" s="661">
        <f>INP_Assumptions!$C$14</f>
        <v>0.05</v>
      </c>
      <c r="Z158" s="14"/>
      <c r="AA158" s="14"/>
      <c r="AB158" s="74">
        <f>1-SUM(Y158:AA158)</f>
        <v>0.95</v>
      </c>
      <c r="AC158" s="14"/>
      <c r="AD158" s="15"/>
      <c r="AE158" s="32"/>
      <c r="AF158" s="32"/>
      <c r="AH158" s="284">
        <f t="shared" ref="AH158:AH164" si="590">I158</f>
        <v>144</v>
      </c>
      <c r="AI158" s="90">
        <f t="shared" ref="AI158" si="591">$S158*W158</f>
        <v>0</v>
      </c>
      <c r="AJ158" s="91">
        <f t="shared" ref="AJ158" si="592">$S158*X158</f>
        <v>0</v>
      </c>
      <c r="AK158" s="91">
        <f t="shared" ref="AK158" si="593">$S158*Y158</f>
        <v>97306.602739726033</v>
      </c>
      <c r="AL158" s="91">
        <f t="shared" ref="AL158" si="594">$S158*Z158</f>
        <v>0</v>
      </c>
      <c r="AM158" s="91">
        <f t="shared" ref="AM158" si="595">$S158*AA158</f>
        <v>0</v>
      </c>
      <c r="AN158" s="91">
        <f t="shared" ref="AN158" si="596">$S158*AB158</f>
        <v>1848825.4520547944</v>
      </c>
      <c r="AO158" s="91">
        <f t="shared" ref="AO158" si="597">$S158*AC158</f>
        <v>0</v>
      </c>
      <c r="AP158" s="50">
        <f t="shared" ref="AP158" si="598">$S158*AD158</f>
        <v>0</v>
      </c>
      <c r="AR158" s="4">
        <f t="shared" ref="AR158" si="599">SUM(AI158:AP158)</f>
        <v>1946132.0547945204</v>
      </c>
      <c r="AT158" s="4"/>
      <c r="AV158" s="131">
        <f t="shared" ref="AV158" si="600">$T158*W158</f>
        <v>0</v>
      </c>
      <c r="AW158" s="100">
        <f t="shared" ref="AW158" si="601">$T158*X158</f>
        <v>0</v>
      </c>
      <c r="AX158" s="100">
        <f t="shared" ref="AX158" si="602">$T158*Y158</f>
        <v>85964.013319747246</v>
      </c>
      <c r="AY158" s="100">
        <f t="shared" ref="AY158" si="603">$T158*Z158</f>
        <v>0</v>
      </c>
      <c r="AZ158" s="100">
        <f t="shared" ref="AZ158" si="604">$T158*AA158</f>
        <v>0</v>
      </c>
      <c r="BA158" s="100">
        <f t="shared" ref="BA158" si="605">$T158*AB158</f>
        <v>1633316.2530751976</v>
      </c>
      <c r="BB158" s="100">
        <f t="shared" ref="BB158" si="606">$T158*AC158</f>
        <v>0</v>
      </c>
      <c r="BC158" s="100">
        <f t="shared" ref="BC158" si="607">$T158*AD158</f>
        <v>0</v>
      </c>
      <c r="BE158" s="96">
        <f>SUM(AV158:BC158)</f>
        <v>1719280.2663949449</v>
      </c>
      <c r="BJ158" s="133"/>
      <c r="BK158" s="133"/>
      <c r="BL158" s="133"/>
      <c r="BM158" s="133"/>
      <c r="BN158" s="133"/>
      <c r="BO158" s="133"/>
      <c r="BP158" s="133"/>
    </row>
    <row r="159" spans="1:70" ht="30.75" customHeight="1" thickBot="1" x14ac:dyDescent="0.3">
      <c r="A159">
        <v>3</v>
      </c>
      <c r="B159" t="s">
        <v>352</v>
      </c>
      <c r="C159" s="1" t="s">
        <v>354</v>
      </c>
      <c r="D159" s="1" t="s">
        <v>41</v>
      </c>
      <c r="E159" s="1" t="str">
        <f t="shared" si="567"/>
        <v>Revenue_Charges paid by LGVs_Combined</v>
      </c>
      <c r="F159" s="1" t="str">
        <f t="shared" si="568"/>
        <v>Revenue_Combined</v>
      </c>
      <c r="G159" s="330" t="s">
        <v>352</v>
      </c>
      <c r="H159" s="331" t="str">
        <f t="shared" si="447"/>
        <v>Revenue_Combined_Revenue</v>
      </c>
      <c r="I159" s="331">
        <v>145</v>
      </c>
      <c r="J159" s="4"/>
      <c r="N159" s="113">
        <f>N61</f>
        <v>4051500</v>
      </c>
      <c r="O159" s="114">
        <f>O61</f>
        <v>3611066.6666666665</v>
      </c>
      <c r="P159" s="114">
        <f>P61</f>
        <v>3170633.3333333335</v>
      </c>
      <c r="Q159" s="115">
        <f>Q61</f>
        <v>2737680.0000000005</v>
      </c>
      <c r="S159" s="3">
        <f t="shared" ref="S159" si="608">SUM(L159:R159)</f>
        <v>13570880</v>
      </c>
      <c r="T159" s="3">
        <f t="shared" ref="T159" si="609">SUMPRODUCT(L159:R159,$L$3:$R$3)</f>
        <v>12058357.612732142</v>
      </c>
      <c r="U159" s="3"/>
      <c r="W159" s="13"/>
      <c r="X159" s="14"/>
      <c r="Y159" s="661">
        <f>INP_Assumptions!$C$14</f>
        <v>0.05</v>
      </c>
      <c r="Z159" s="14"/>
      <c r="AA159" s="14"/>
      <c r="AB159" s="74">
        <f>1-SUM(Y159:AA159)</f>
        <v>0.95</v>
      </c>
      <c r="AC159" s="14"/>
      <c r="AD159" s="15"/>
      <c r="AE159" s="32"/>
      <c r="AF159" s="32"/>
      <c r="AH159" s="284">
        <f t="shared" si="590"/>
        <v>145</v>
      </c>
      <c r="AI159" s="90">
        <f t="shared" ref="AI159" si="610">$S159*W159</f>
        <v>0</v>
      </c>
      <c r="AJ159" s="91">
        <f t="shared" ref="AJ159" si="611">$S159*X159</f>
        <v>0</v>
      </c>
      <c r="AK159" s="91">
        <f t="shared" ref="AK159" si="612">$S159*Y159</f>
        <v>678544</v>
      </c>
      <c r="AL159" s="91">
        <f t="shared" ref="AL159" si="613">$S159*Z159</f>
        <v>0</v>
      </c>
      <c r="AM159" s="91">
        <f t="shared" ref="AM159" si="614">$S159*AA159</f>
        <v>0</v>
      </c>
      <c r="AN159" s="91">
        <f t="shared" ref="AN159" si="615">$S159*AB159</f>
        <v>12892336</v>
      </c>
      <c r="AO159" s="91">
        <f t="shared" ref="AO159" si="616">$S159*AC159</f>
        <v>0</v>
      </c>
      <c r="AP159" s="50">
        <f t="shared" ref="AP159" si="617">$S159*AD159</f>
        <v>0</v>
      </c>
      <c r="AR159" s="4">
        <f t="shared" ref="AR159" si="618">SUM(AI159:AP159)</f>
        <v>13570880</v>
      </c>
      <c r="AT159" s="4"/>
      <c r="AV159" s="131">
        <f t="shared" ref="AV159" si="619">$T159*W159</f>
        <v>0</v>
      </c>
      <c r="AW159" s="100">
        <f t="shared" ref="AW159" si="620">$T159*X159</f>
        <v>0</v>
      </c>
      <c r="AX159" s="100">
        <f t="shared" ref="AX159" si="621">$T159*Y159</f>
        <v>602917.88063660718</v>
      </c>
      <c r="AY159" s="100">
        <f t="shared" ref="AY159" si="622">$T159*Z159</f>
        <v>0</v>
      </c>
      <c r="AZ159" s="100">
        <f t="shared" ref="AZ159" si="623">$T159*AA159</f>
        <v>0</v>
      </c>
      <c r="BA159" s="100">
        <f t="shared" ref="BA159" si="624">$T159*AB159</f>
        <v>11455439.732095534</v>
      </c>
      <c r="BB159" s="100">
        <f t="shared" ref="BB159" si="625">$T159*AC159</f>
        <v>0</v>
      </c>
      <c r="BC159" s="100">
        <f t="shared" ref="BC159" si="626">$T159*AD159</f>
        <v>0</v>
      </c>
      <c r="BE159" s="96">
        <f>SUM(AV159:BC159)</f>
        <v>12058357.61273214</v>
      </c>
      <c r="BJ159" s="133"/>
      <c r="BK159" s="133"/>
      <c r="BL159" s="133"/>
      <c r="BM159" s="133"/>
      <c r="BN159" s="133"/>
      <c r="BO159" s="133"/>
      <c r="BP159" s="133"/>
    </row>
    <row r="160" spans="1:70" ht="30.75" customHeight="1" thickBot="1" x14ac:dyDescent="0.3">
      <c r="A160">
        <v>4</v>
      </c>
      <c r="B160" t="s">
        <v>352</v>
      </c>
      <c r="C160" s="1" t="s">
        <v>355</v>
      </c>
      <c r="D160" s="1" t="s">
        <v>41</v>
      </c>
      <c r="E160" s="1" t="str">
        <f t="shared" si="567"/>
        <v>Revenue_Charges paid by HGVs_Combined</v>
      </c>
      <c r="F160" s="1" t="str">
        <f t="shared" si="568"/>
        <v>Revenue_Combined</v>
      </c>
      <c r="G160" s="330" t="s">
        <v>352</v>
      </c>
      <c r="H160" s="331" t="str">
        <f t="shared" si="447"/>
        <v>Revenue_Combined_Revenue</v>
      </c>
      <c r="I160" s="331">
        <v>146</v>
      </c>
      <c r="J160" s="4"/>
      <c r="N160" s="110">
        <f>N69</f>
        <v>894250</v>
      </c>
      <c r="O160" s="111">
        <f>O69</f>
        <v>833416.66666666663</v>
      </c>
      <c r="P160" s="111">
        <f>P69</f>
        <v>772583.33333333337</v>
      </c>
      <c r="Q160" s="112">
        <f>Q69</f>
        <v>713700.00000000012</v>
      </c>
      <c r="S160" s="3">
        <f t="shared" ref="S160" si="627">SUM(L160:R160)</f>
        <v>3213950</v>
      </c>
      <c r="T160" s="3">
        <f t="shared" ref="T160" si="628">SUMPRODUCT(L160:R160,$L$3:$R$3)</f>
        <v>2848896.4055303978</v>
      </c>
      <c r="U160" s="3"/>
      <c r="W160" s="13"/>
      <c r="X160" s="14"/>
      <c r="Y160" s="20">
        <f>INP_Assumptions!$C$14</f>
        <v>0.05</v>
      </c>
      <c r="Z160" s="14"/>
      <c r="AA160" s="14"/>
      <c r="AB160" s="74">
        <f>1-SUM(Y160:AA160)</f>
        <v>0.95</v>
      </c>
      <c r="AC160" s="14"/>
      <c r="AD160" s="15"/>
      <c r="AE160" s="32"/>
      <c r="AF160" s="32"/>
      <c r="AH160" s="284">
        <f t="shared" si="590"/>
        <v>146</v>
      </c>
      <c r="AI160" s="90">
        <f t="shared" ref="AI160" si="629">$S160*W160</f>
        <v>0</v>
      </c>
      <c r="AJ160" s="91">
        <f t="shared" ref="AJ160" si="630">$S160*X160</f>
        <v>0</v>
      </c>
      <c r="AK160" s="91">
        <f t="shared" ref="AK160" si="631">$S160*Y160</f>
        <v>160697.5</v>
      </c>
      <c r="AL160" s="91">
        <f t="shared" ref="AL160" si="632">$S160*Z160</f>
        <v>0</v>
      </c>
      <c r="AM160" s="91">
        <f t="shared" ref="AM160" si="633">$S160*AA160</f>
        <v>0</v>
      </c>
      <c r="AN160" s="91">
        <f t="shared" ref="AN160" si="634">$S160*AB160</f>
        <v>3053252.5</v>
      </c>
      <c r="AO160" s="91">
        <f t="shared" ref="AO160" si="635">$S160*AC160</f>
        <v>0</v>
      </c>
      <c r="AP160" s="50">
        <f t="shared" ref="AP160" si="636">$S160*AD160</f>
        <v>0</v>
      </c>
      <c r="AR160" s="4">
        <f t="shared" ref="AR160:AR164" si="637">SUM(AI160:AP160)</f>
        <v>3213950</v>
      </c>
      <c r="AT160" s="4"/>
      <c r="AV160" s="131">
        <f t="shared" ref="AV160" si="638">$T160*W160</f>
        <v>0</v>
      </c>
      <c r="AW160" s="100">
        <f t="shared" ref="AW160" si="639">$T160*X160</f>
        <v>0</v>
      </c>
      <c r="AX160" s="100">
        <f t="shared" ref="AX160" si="640">$T160*Y160</f>
        <v>142444.82027651989</v>
      </c>
      <c r="AY160" s="100">
        <f t="shared" ref="AY160" si="641">$T160*Z160</f>
        <v>0</v>
      </c>
      <c r="AZ160" s="100">
        <f t="shared" ref="AZ160" si="642">$T160*AA160</f>
        <v>0</v>
      </c>
      <c r="BA160" s="100">
        <f t="shared" ref="BA160" si="643">$T160*AB160</f>
        <v>2706451.5852538776</v>
      </c>
      <c r="BB160" s="100">
        <f t="shared" ref="BB160" si="644">$T160*AC160</f>
        <v>0</v>
      </c>
      <c r="BC160" s="100">
        <f t="shared" ref="BC160" si="645">$T160*AD160</f>
        <v>0</v>
      </c>
      <c r="BE160" s="96">
        <f>SUM(AV160:BC160)</f>
        <v>2848896.4055303973</v>
      </c>
      <c r="BJ160" s="133"/>
      <c r="BK160" s="133"/>
      <c r="BL160" s="133"/>
      <c r="BM160" s="133"/>
      <c r="BN160" s="133"/>
      <c r="BO160" s="133"/>
      <c r="BP160" s="133"/>
    </row>
    <row r="161" spans="1:68" ht="15" customHeight="1" x14ac:dyDescent="0.25">
      <c r="F161" s="1" t="s">
        <v>533</v>
      </c>
      <c r="G161" s="332"/>
      <c r="H161" s="333"/>
      <c r="I161" s="331">
        <v>147</v>
      </c>
      <c r="J161" s="4"/>
      <c r="M161" t="s">
        <v>454</v>
      </c>
      <c r="N161" s="4">
        <f>SUM(N157:N160)</f>
        <v>5431950</v>
      </c>
      <c r="O161" s="4">
        <f t="shared" ref="O161:Q161" si="646">SUM(O157:O160)</f>
        <v>4930683.333333333</v>
      </c>
      <c r="P161" s="4">
        <f t="shared" si="646"/>
        <v>4429416.666666667</v>
      </c>
      <c r="Q161" s="4">
        <f t="shared" si="646"/>
        <v>3938912.0547945211</v>
      </c>
      <c r="S161" s="3">
        <f t="shared" ref="S161" si="647">SUM(L161:R161)</f>
        <v>18730962.05479452</v>
      </c>
      <c r="T161" s="3">
        <f t="shared" ref="T161" si="648">SUMPRODUCT(L161:R161,$L$3:$R$3)</f>
        <v>16626534.284657482</v>
      </c>
      <c r="AH161" s="284">
        <f t="shared" si="590"/>
        <v>147</v>
      </c>
      <c r="BJ161" s="133"/>
      <c r="BK161" s="133"/>
      <c r="BL161" s="133"/>
      <c r="BM161" s="133"/>
      <c r="BN161" s="133"/>
      <c r="BO161" s="133"/>
      <c r="BP161" s="133"/>
    </row>
    <row r="162" spans="1:68" ht="15" customHeight="1" x14ac:dyDescent="0.25">
      <c r="F162" s="1" t="s">
        <v>533</v>
      </c>
      <c r="G162" s="332"/>
      <c r="H162" s="333"/>
      <c r="I162" s="331">
        <v>148</v>
      </c>
      <c r="J162" s="4"/>
      <c r="M162" t="s">
        <v>531</v>
      </c>
      <c r="N162" s="4">
        <f>N161*(1-INP_Assumptions!$C$14)</f>
        <v>5160352.5</v>
      </c>
      <c r="O162" s="4">
        <f>O161*(1-INP_Assumptions!$C$14)</f>
        <v>4684149.166666666</v>
      </c>
      <c r="P162" s="4">
        <f>P161*(1-INP_Assumptions!$C$14)</f>
        <v>4207945.833333333</v>
      </c>
      <c r="Q162" s="4">
        <f>Q161*(1-INP_Assumptions!$C$14)</f>
        <v>3741966.4520547949</v>
      </c>
      <c r="S162" s="3"/>
      <c r="T162" s="3"/>
      <c r="AH162" s="284">
        <f t="shared" si="590"/>
        <v>148</v>
      </c>
      <c r="BJ162" s="133"/>
      <c r="BK162" s="133"/>
      <c r="BL162" s="133"/>
      <c r="BM162" s="133"/>
      <c r="BN162" s="133"/>
      <c r="BO162" s="133"/>
      <c r="BP162" s="133"/>
    </row>
    <row r="163" spans="1:68" ht="15" customHeight="1" thickBot="1" x14ac:dyDescent="0.3">
      <c r="F163" s="1" t="s">
        <v>533</v>
      </c>
      <c r="G163" s="332"/>
      <c r="H163" s="333"/>
      <c r="I163" s="331">
        <v>149</v>
      </c>
      <c r="J163" s="4"/>
      <c r="M163" t="s">
        <v>532</v>
      </c>
      <c r="N163" s="4">
        <f>N162+N145</f>
        <v>4860352.5</v>
      </c>
      <c r="O163" s="4">
        <f>O162+O145</f>
        <v>4384149.166666666</v>
      </c>
      <c r="P163" s="4">
        <f>P162+P145</f>
        <v>3907945.833333333</v>
      </c>
      <c r="Q163" s="4">
        <f>Q162+Q145</f>
        <v>3441966.4520547949</v>
      </c>
      <c r="R163" s="4">
        <f>SUM(N162:Q162)</f>
        <v>17794413.952054795</v>
      </c>
      <c r="S163" s="3"/>
      <c r="T163" s="3"/>
      <c r="AH163" s="284">
        <f t="shared" si="590"/>
        <v>149</v>
      </c>
      <c r="BJ163" s="133"/>
      <c r="BK163" s="133"/>
      <c r="BL163" s="133"/>
      <c r="BM163" s="133"/>
      <c r="BN163" s="133"/>
      <c r="BO163" s="133"/>
      <c r="BP163" s="133"/>
    </row>
    <row r="164" spans="1:68" ht="30.75" customHeight="1" thickBot="1" x14ac:dyDescent="0.3">
      <c r="A164">
        <v>5</v>
      </c>
      <c r="B164" t="s">
        <v>352</v>
      </c>
      <c r="C164" s="1" t="s">
        <v>457</v>
      </c>
      <c r="D164" s="1" t="s">
        <v>41</v>
      </c>
      <c r="E164" s="1" t="str">
        <f t="shared" ref="E164" si="649">CONCATENATE(B164,"_",C164,"_",D164)</f>
        <v>Revenue_Revenue used to fund stuff_Combined</v>
      </c>
      <c r="F164" s="1" t="str">
        <f t="shared" ref="F164" si="650">CONCATENATE(B164,"_",D164)</f>
        <v>Revenue_Combined</v>
      </c>
      <c r="G164" s="37" t="s">
        <v>352</v>
      </c>
      <c r="H164" s="331" t="str">
        <f t="shared" si="447"/>
        <v>Revenue_Combined_Revenue</v>
      </c>
      <c r="I164" s="331">
        <v>150</v>
      </c>
      <c r="J164" s="4"/>
      <c r="M164" t="s">
        <v>457</v>
      </c>
      <c r="N164" s="4">
        <f>N145+N146</f>
        <v>-300000</v>
      </c>
      <c r="O164" s="4">
        <f>O145+O146</f>
        <v>-300000</v>
      </c>
      <c r="P164" s="4">
        <f>P145+P146</f>
        <v>-300000</v>
      </c>
      <c r="Q164" s="4">
        <f>Q145+Q146</f>
        <v>-300000</v>
      </c>
      <c r="R164" s="4">
        <f>R145+R146</f>
        <v>-405600</v>
      </c>
      <c r="S164" s="3">
        <f t="shared" ref="S164" si="651">SUM(L164:R164)</f>
        <v>-1605600</v>
      </c>
      <c r="T164" s="3">
        <f t="shared" ref="T164" si="652">SUMPRODUCT(L164:R164,$L$3:$R$3)</f>
        <v>-1387697.8485993028</v>
      </c>
      <c r="W164" s="279"/>
      <c r="X164" s="280"/>
      <c r="Y164" s="280"/>
      <c r="Z164" s="280"/>
      <c r="AA164" s="280"/>
      <c r="AB164" s="678">
        <v>1</v>
      </c>
      <c r="AC164" s="280"/>
      <c r="AD164" s="281"/>
      <c r="AH164" s="284">
        <f t="shared" si="590"/>
        <v>150</v>
      </c>
      <c r="AI164" s="90">
        <f t="shared" ref="AI164" si="653">$S164*W164</f>
        <v>0</v>
      </c>
      <c r="AJ164" s="91">
        <f t="shared" ref="AJ164" si="654">$S164*X164</f>
        <v>0</v>
      </c>
      <c r="AK164" s="91">
        <f t="shared" ref="AK164" si="655">$S164*Y164</f>
        <v>0</v>
      </c>
      <c r="AL164" s="91">
        <f t="shared" ref="AL164" si="656">$S164*Z164</f>
        <v>0</v>
      </c>
      <c r="AM164" s="91">
        <f t="shared" ref="AM164" si="657">$S164*AA164</f>
        <v>0</v>
      </c>
      <c r="AN164" s="91">
        <f t="shared" ref="AN164" si="658">$S164*AB164</f>
        <v>-1605600</v>
      </c>
      <c r="AO164" s="91">
        <f t="shared" ref="AO164" si="659">$S164*AC164</f>
        <v>0</v>
      </c>
      <c r="AP164" s="50">
        <f t="shared" ref="AP164" si="660">$S164*AD164</f>
        <v>0</v>
      </c>
      <c r="AR164" s="4">
        <f t="shared" si="637"/>
        <v>-1605600</v>
      </c>
      <c r="AV164" s="131">
        <f t="shared" ref="AV164" si="661">$T164*W164</f>
        <v>0</v>
      </c>
      <c r="AW164" s="100">
        <f t="shared" ref="AW164" si="662">$T164*X164</f>
        <v>0</v>
      </c>
      <c r="AX164" s="100">
        <f t="shared" ref="AX164" si="663">$T164*Y164</f>
        <v>0</v>
      </c>
      <c r="AY164" s="100">
        <f t="shared" ref="AY164" si="664">$T164*Z164</f>
        <v>0</v>
      </c>
      <c r="AZ164" s="100">
        <f t="shared" ref="AZ164" si="665">$T164*AA164</f>
        <v>0</v>
      </c>
      <c r="BA164" s="100">
        <f t="shared" ref="BA164" si="666">$T164*AB164</f>
        <v>-1387697.8485993028</v>
      </c>
      <c r="BB164" s="100">
        <f t="shared" ref="BB164" si="667">$T164*AC164</f>
        <v>0</v>
      </c>
      <c r="BC164" s="100">
        <f t="shared" ref="BC164" si="668">$T164*AD164</f>
        <v>0</v>
      </c>
      <c r="BE164" s="96">
        <f>SUM(AV164:BC164)</f>
        <v>-1387697.8485993028</v>
      </c>
      <c r="BJ164" s="133"/>
      <c r="BK164" s="133"/>
      <c r="BL164" s="133"/>
      <c r="BM164" s="133"/>
      <c r="BN164" s="133"/>
      <c r="BO164" s="133"/>
      <c r="BP164" s="133"/>
    </row>
    <row r="165" spans="1:68" x14ac:dyDescent="0.25">
      <c r="S165" s="3"/>
      <c r="T165" s="3"/>
    </row>
  </sheetData>
  <mergeCells count="1">
    <mergeCell ref="AH5:AP5"/>
  </mergeCells>
  <conditionalFormatting sqref="I144:I1048576 I1:I47 I49:I142">
    <cfRule type="duplicateValues" dxfId="10" priority="3"/>
  </conditionalFormatting>
  <conditionalFormatting sqref="I143">
    <cfRule type="duplicateValues" dxfId="9" priority="2"/>
  </conditionalFormatting>
  <conditionalFormatting sqref="I48">
    <cfRule type="duplicateValues" dxfId="8" priority="1"/>
  </conditionalFormatting>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59999389629810485"/>
  </sheetPr>
  <dimension ref="A1:AL15"/>
  <sheetViews>
    <sheetView workbookViewId="0"/>
  </sheetViews>
  <sheetFormatPr defaultRowHeight="15" x14ac:dyDescent="0.25"/>
  <cols>
    <col min="25" max="25" width="12" bestFit="1" customWidth="1"/>
    <col min="32" max="32" width="9.5703125" customWidth="1"/>
    <col min="38" max="38" width="20.42578125" bestFit="1" customWidth="1"/>
  </cols>
  <sheetData>
    <row r="1" spans="1:38" ht="15.75" thickBot="1" x14ac:dyDescent="0.3">
      <c r="A1" t="s">
        <v>824</v>
      </c>
    </row>
    <row r="2" spans="1:38" ht="15.75" thickBot="1" x14ac:dyDescent="0.3">
      <c r="A2" t="s">
        <v>122</v>
      </c>
      <c r="B2" s="36">
        <v>100</v>
      </c>
      <c r="D2" s="63" t="s">
        <v>120</v>
      </c>
      <c r="E2" s="65" t="s">
        <v>121</v>
      </c>
      <c r="F2" s="65" t="s">
        <v>120</v>
      </c>
      <c r="G2" s="65" t="s">
        <v>121</v>
      </c>
      <c r="H2" s="65" t="s">
        <v>120</v>
      </c>
      <c r="I2" s="65" t="s">
        <v>121</v>
      </c>
      <c r="J2" s="65" t="s">
        <v>120</v>
      </c>
      <c r="K2" s="65" t="s">
        <v>121</v>
      </c>
      <c r="L2" s="65" t="s">
        <v>120</v>
      </c>
      <c r="M2" s="65" t="s">
        <v>121</v>
      </c>
      <c r="N2" s="65" t="s">
        <v>120</v>
      </c>
      <c r="O2" s="65" t="s">
        <v>121</v>
      </c>
      <c r="P2" s="65" t="s">
        <v>120</v>
      </c>
      <c r="Q2" s="65" t="s">
        <v>121</v>
      </c>
      <c r="R2" s="65" t="s">
        <v>120</v>
      </c>
      <c r="S2" s="65" t="s">
        <v>121</v>
      </c>
      <c r="T2" s="65" t="s">
        <v>120</v>
      </c>
      <c r="U2" s="65" t="s">
        <v>121</v>
      </c>
      <c r="V2" s="137" t="s">
        <v>120</v>
      </c>
      <c r="W2" s="60"/>
      <c r="X2">
        <v>2019</v>
      </c>
      <c r="Y2" s="63">
        <f>D3</f>
        <v>2020</v>
      </c>
      <c r="Z2" s="65">
        <f>F3</f>
        <v>2021</v>
      </c>
      <c r="AA2" s="65">
        <f>H3</f>
        <v>2022</v>
      </c>
      <c r="AB2" s="65">
        <f>J3</f>
        <v>2023</v>
      </c>
      <c r="AC2" s="65">
        <f>L3</f>
        <v>2024</v>
      </c>
      <c r="AD2" s="65" t="s">
        <v>186</v>
      </c>
      <c r="AE2" s="65"/>
      <c r="AF2" s="65">
        <f>N3</f>
        <v>2025</v>
      </c>
      <c r="AG2" s="65">
        <f>P3</f>
        <v>2026</v>
      </c>
      <c r="AH2" s="65">
        <f>R3</f>
        <v>2027</v>
      </c>
      <c r="AI2" s="65">
        <f>T3</f>
        <v>2028</v>
      </c>
      <c r="AJ2" s="65">
        <f>V3</f>
        <v>2029</v>
      </c>
      <c r="AK2" s="60"/>
      <c r="AL2" t="s">
        <v>178</v>
      </c>
    </row>
    <row r="3" spans="1:38" ht="19.5" thickBot="1" x14ac:dyDescent="0.35">
      <c r="D3" s="66">
        <v>2020</v>
      </c>
      <c r="E3" s="60">
        <v>2020</v>
      </c>
      <c r="F3" s="60">
        <v>2021</v>
      </c>
      <c r="G3" s="60">
        <v>2021</v>
      </c>
      <c r="H3" s="60">
        <v>2022</v>
      </c>
      <c r="I3" s="60">
        <v>2022</v>
      </c>
      <c r="J3" s="60">
        <v>2023</v>
      </c>
      <c r="K3" s="60">
        <v>2023</v>
      </c>
      <c r="L3" s="60">
        <v>2024</v>
      </c>
      <c r="M3" s="60">
        <v>2024</v>
      </c>
      <c r="N3" s="60">
        <v>2025</v>
      </c>
      <c r="O3" s="60">
        <v>2025</v>
      </c>
      <c r="P3" s="60">
        <v>2026</v>
      </c>
      <c r="Q3" s="60">
        <v>2026</v>
      </c>
      <c r="R3" s="60">
        <v>2027</v>
      </c>
      <c r="S3" s="60">
        <v>2027</v>
      </c>
      <c r="T3" s="60">
        <v>2028</v>
      </c>
      <c r="U3" s="60">
        <v>2028</v>
      </c>
      <c r="V3" s="125">
        <v>2029</v>
      </c>
      <c r="W3" s="60"/>
      <c r="Y3" s="756">
        <f>D6+E6</f>
        <v>3.3250000000000002</v>
      </c>
      <c r="Z3" s="756">
        <f>F6+G6</f>
        <v>5.6000000000000005</v>
      </c>
      <c r="AA3" s="756">
        <f>H6+I6</f>
        <v>4.2000000000000011</v>
      </c>
      <c r="AB3" s="756">
        <f>J6+K6</f>
        <v>2.8000000000000003</v>
      </c>
      <c r="AC3" s="756">
        <f>L6+M6</f>
        <v>1.4000000000000001</v>
      </c>
      <c r="AD3" s="729" t="s">
        <v>850</v>
      </c>
      <c r="AE3" s="146"/>
      <c r="AF3" s="756">
        <f>N6+O6</f>
        <v>0.17500000000000002</v>
      </c>
      <c r="AG3" s="756">
        <f>P6+Q6</f>
        <v>0</v>
      </c>
      <c r="AH3" s="756">
        <f>R6+S6</f>
        <v>0</v>
      </c>
      <c r="AI3" s="756">
        <f>T6+U6</f>
        <v>0</v>
      </c>
      <c r="AJ3" s="756">
        <f>V6+X6</f>
        <v>0</v>
      </c>
      <c r="AK3" s="146"/>
    </row>
    <row r="4" spans="1:38" ht="15.75" thickBot="1" x14ac:dyDescent="0.3">
      <c r="A4" t="s">
        <v>124</v>
      </c>
      <c r="B4" s="36">
        <f>B2/INP_Assumptions!C9/2</f>
        <v>10</v>
      </c>
      <c r="C4" t="s">
        <v>123</v>
      </c>
      <c r="D4" s="138">
        <v>0</v>
      </c>
      <c r="E4" s="139">
        <f>B2-B4/2</f>
        <v>95</v>
      </c>
      <c r="F4" s="140">
        <f>MAX(E4-$B$4,0)</f>
        <v>85</v>
      </c>
      <c r="G4" s="140">
        <f t="shared" ref="G4:O4" si="0">MAX(F4-$B$4,0)</f>
        <v>75</v>
      </c>
      <c r="H4" s="140">
        <f t="shared" si="0"/>
        <v>65</v>
      </c>
      <c r="I4" s="140">
        <f t="shared" si="0"/>
        <v>55</v>
      </c>
      <c r="J4" s="140">
        <f t="shared" si="0"/>
        <v>45</v>
      </c>
      <c r="K4" s="140">
        <f t="shared" si="0"/>
        <v>35</v>
      </c>
      <c r="L4" s="140">
        <f t="shared" si="0"/>
        <v>25</v>
      </c>
      <c r="M4" s="140">
        <f t="shared" si="0"/>
        <v>15</v>
      </c>
      <c r="N4" s="140">
        <f t="shared" si="0"/>
        <v>5</v>
      </c>
      <c r="O4" s="140">
        <f t="shared" si="0"/>
        <v>0</v>
      </c>
      <c r="P4" s="140">
        <f t="shared" ref="P4" si="1">MAX(O4-$B$4,0)</f>
        <v>0</v>
      </c>
      <c r="Q4" s="140">
        <f t="shared" ref="Q4" si="2">MAX(P4-$B$4,0)</f>
        <v>0</v>
      </c>
      <c r="R4" s="140">
        <f t="shared" ref="R4" si="3">MAX(Q4-$B$4,0)</f>
        <v>0</v>
      </c>
      <c r="S4" s="140">
        <f t="shared" ref="S4" si="4">MAX(R4-$B$4,0)</f>
        <v>0</v>
      </c>
      <c r="T4" s="140">
        <f t="shared" ref="T4" si="5">MAX(S4-$B$4,0)</f>
        <v>0</v>
      </c>
      <c r="U4" s="140">
        <f t="shared" ref="U4" si="6">MAX(T4-$B$4,0)</f>
        <v>0</v>
      </c>
      <c r="V4" s="141">
        <f t="shared" ref="V4" si="7">MAX(U4-$B$4,0)</f>
        <v>0</v>
      </c>
      <c r="W4" s="140"/>
      <c r="Y4" s="749">
        <f t="shared" ref="Y4:AF4" si="8">Y3/$B$2</f>
        <v>3.3250000000000002E-2</v>
      </c>
      <c r="Z4" s="750">
        <f t="shared" si="8"/>
        <v>5.6000000000000008E-2</v>
      </c>
      <c r="AA4" s="750">
        <f t="shared" si="8"/>
        <v>4.200000000000001E-2</v>
      </c>
      <c r="AB4" s="750">
        <f t="shared" si="8"/>
        <v>2.8000000000000004E-2</v>
      </c>
      <c r="AC4" s="751">
        <f t="shared" si="8"/>
        <v>1.4000000000000002E-2</v>
      </c>
      <c r="AD4" s="752">
        <f>SUM(AF4:AJ4)</f>
        <v>1.7500000000000003E-3</v>
      </c>
      <c r="AE4" s="572" t="s">
        <v>810</v>
      </c>
      <c r="AF4" s="753">
        <f t="shared" si="8"/>
        <v>1.7500000000000003E-3</v>
      </c>
      <c r="AG4" s="754">
        <f t="shared" ref="AG4" si="9">AG3/$B$2</f>
        <v>0</v>
      </c>
      <c r="AH4" s="754">
        <f t="shared" ref="AH4" si="10">AH3/$B$2</f>
        <v>0</v>
      </c>
      <c r="AI4" s="754">
        <f t="shared" ref="AI4" si="11">AI3/$B$2</f>
        <v>0</v>
      </c>
      <c r="AJ4" s="755">
        <f t="shared" ref="AJ4" si="12">AJ3/$B$2</f>
        <v>0</v>
      </c>
      <c r="AK4" s="572"/>
      <c r="AL4" s="570">
        <f>SUM(Y4:AJ4)-AD4</f>
        <v>0.17500000000000004</v>
      </c>
    </row>
    <row r="5" spans="1:38" x14ac:dyDescent="0.25">
      <c r="B5" s="36"/>
      <c r="D5" s="138"/>
      <c r="E5" s="139"/>
      <c r="F5" s="140"/>
      <c r="G5" s="140"/>
      <c r="H5" s="140"/>
      <c r="I5" s="140"/>
      <c r="J5" s="140"/>
      <c r="K5" s="140"/>
      <c r="L5" s="140"/>
      <c r="M5" s="140"/>
      <c r="N5" s="140"/>
      <c r="O5" s="140"/>
      <c r="P5" s="140"/>
      <c r="Q5" s="140"/>
      <c r="R5" s="140"/>
      <c r="S5" s="140"/>
      <c r="T5" s="140"/>
      <c r="U5" s="140"/>
      <c r="V5" s="141"/>
      <c r="W5" s="140"/>
      <c r="Y5" s="572"/>
      <c r="Z5" s="572"/>
      <c r="AA5" s="572"/>
      <c r="AB5" s="572"/>
      <c r="AC5" s="572"/>
      <c r="AD5" s="572"/>
      <c r="AG5" s="572"/>
      <c r="AH5" s="572"/>
      <c r="AI5" s="572"/>
      <c r="AJ5" s="572"/>
      <c r="AK5" s="572"/>
      <c r="AL5" s="748"/>
    </row>
    <row r="6" spans="1:38" ht="15.75" thickBot="1" x14ac:dyDescent="0.3">
      <c r="A6" t="s">
        <v>825</v>
      </c>
      <c r="B6" s="31">
        <f>INP_Assumptions!$C$10</f>
        <v>7.0000000000000007E-2</v>
      </c>
      <c r="C6" t="s">
        <v>125</v>
      </c>
      <c r="D6" s="142">
        <f t="shared" ref="D6:V6" si="13">D4*$B$6/2</f>
        <v>0</v>
      </c>
      <c r="E6" s="143">
        <f t="shared" si="13"/>
        <v>3.3250000000000002</v>
      </c>
      <c r="F6" s="143">
        <f t="shared" si="13"/>
        <v>2.9750000000000001</v>
      </c>
      <c r="G6" s="143">
        <f t="shared" si="13"/>
        <v>2.6250000000000004</v>
      </c>
      <c r="H6" s="143">
        <f t="shared" si="13"/>
        <v>2.2750000000000004</v>
      </c>
      <c r="I6" s="143">
        <f t="shared" si="13"/>
        <v>1.9250000000000003</v>
      </c>
      <c r="J6" s="143">
        <f t="shared" si="13"/>
        <v>1.5750000000000002</v>
      </c>
      <c r="K6" s="143">
        <f t="shared" si="13"/>
        <v>1.2250000000000001</v>
      </c>
      <c r="L6" s="143">
        <f t="shared" si="13"/>
        <v>0.87500000000000011</v>
      </c>
      <c r="M6" s="143">
        <f t="shared" si="13"/>
        <v>0.52500000000000002</v>
      </c>
      <c r="N6" s="143">
        <f t="shared" si="13"/>
        <v>0.17500000000000002</v>
      </c>
      <c r="O6" s="143">
        <f t="shared" si="13"/>
        <v>0</v>
      </c>
      <c r="P6" s="143">
        <f t="shared" si="13"/>
        <v>0</v>
      </c>
      <c r="Q6" s="143">
        <f t="shared" si="13"/>
        <v>0</v>
      </c>
      <c r="R6" s="143">
        <f t="shared" si="13"/>
        <v>0</v>
      </c>
      <c r="S6" s="143">
        <f t="shared" si="13"/>
        <v>0</v>
      </c>
      <c r="T6" s="143">
        <f t="shared" si="13"/>
        <v>0</v>
      </c>
      <c r="U6" s="143">
        <f t="shared" si="13"/>
        <v>0</v>
      </c>
      <c r="V6" s="144">
        <f t="shared" si="13"/>
        <v>0</v>
      </c>
      <c r="W6" s="140"/>
      <c r="Y6" s="679"/>
      <c r="Z6" s="679"/>
      <c r="AA6" s="679"/>
      <c r="AB6" s="679"/>
      <c r="AC6" s="679"/>
      <c r="AD6" s="679"/>
      <c r="AF6" s="9"/>
      <c r="AG6" s="9"/>
      <c r="AH6" s="9"/>
      <c r="AI6" s="9"/>
      <c r="AJ6" s="9"/>
      <c r="AL6" s="679"/>
    </row>
    <row r="7" spans="1:38" ht="15.75" thickBot="1" x14ac:dyDescent="0.3"/>
    <row r="8" spans="1:38" ht="19.5" thickBot="1" x14ac:dyDescent="0.35">
      <c r="X8">
        <v>2019</v>
      </c>
      <c r="Y8" s="730">
        <f t="shared" ref="Y8:AC10" si="14">Y2</f>
        <v>2020</v>
      </c>
      <c r="Z8" s="731">
        <f t="shared" si="14"/>
        <v>2021</v>
      </c>
      <c r="AA8" s="731">
        <f t="shared" si="14"/>
        <v>2022</v>
      </c>
      <c r="AB8" s="731">
        <f t="shared" si="14"/>
        <v>2023</v>
      </c>
      <c r="AC8" s="732">
        <f t="shared" si="14"/>
        <v>2024</v>
      </c>
      <c r="AD8" s="730">
        <f t="shared" ref="AD8:AH10" si="15">AF2</f>
        <v>2025</v>
      </c>
      <c r="AE8" s="731">
        <f t="shared" si="15"/>
        <v>2026</v>
      </c>
      <c r="AF8" s="731">
        <f t="shared" si="15"/>
        <v>2027</v>
      </c>
      <c r="AG8" s="731">
        <f t="shared" si="15"/>
        <v>2028</v>
      </c>
      <c r="AH8" s="732">
        <f t="shared" si="15"/>
        <v>2029</v>
      </c>
      <c r="AI8" s="729" t="s">
        <v>850</v>
      </c>
    </row>
    <row r="9" spans="1:38" ht="15.75" thickBot="1" x14ac:dyDescent="0.3">
      <c r="Y9" s="736">
        <f t="shared" si="14"/>
        <v>3.3250000000000002</v>
      </c>
      <c r="Z9" s="737">
        <f t="shared" si="14"/>
        <v>5.6000000000000005</v>
      </c>
      <c r="AA9" s="737">
        <f t="shared" si="14"/>
        <v>4.2000000000000011</v>
      </c>
      <c r="AB9" s="737">
        <f t="shared" si="14"/>
        <v>2.8000000000000003</v>
      </c>
      <c r="AC9" s="738">
        <f t="shared" si="14"/>
        <v>1.4000000000000001</v>
      </c>
      <c r="AD9" s="736">
        <f t="shared" si="15"/>
        <v>0.17500000000000002</v>
      </c>
      <c r="AE9" s="737">
        <f t="shared" si="15"/>
        <v>0</v>
      </c>
      <c r="AF9" s="737">
        <f t="shared" si="15"/>
        <v>0</v>
      </c>
      <c r="AG9" s="737">
        <f t="shared" si="15"/>
        <v>0</v>
      </c>
      <c r="AH9" s="738">
        <f t="shared" si="15"/>
        <v>0</v>
      </c>
      <c r="AI9" s="739">
        <f>SUM(Y9:AH9)</f>
        <v>17.500000000000004</v>
      </c>
    </row>
    <row r="10" spans="1:38" ht="15.75" thickBot="1" x14ac:dyDescent="0.3">
      <c r="Y10" s="733">
        <f t="shared" si="14"/>
        <v>3.3250000000000002E-2</v>
      </c>
      <c r="Z10" s="734">
        <f t="shared" si="14"/>
        <v>5.6000000000000008E-2</v>
      </c>
      <c r="AA10" s="734">
        <f t="shared" si="14"/>
        <v>4.200000000000001E-2</v>
      </c>
      <c r="AB10" s="734">
        <f t="shared" si="14"/>
        <v>2.8000000000000004E-2</v>
      </c>
      <c r="AC10" s="735">
        <f t="shared" si="14"/>
        <v>1.4000000000000002E-2</v>
      </c>
      <c r="AD10" s="733">
        <f t="shared" si="15"/>
        <v>1.7500000000000003E-3</v>
      </c>
      <c r="AE10" s="734">
        <f t="shared" si="15"/>
        <v>0</v>
      </c>
      <c r="AF10" s="734">
        <f t="shared" si="15"/>
        <v>0</v>
      </c>
      <c r="AG10" s="734">
        <f t="shared" si="15"/>
        <v>0</v>
      </c>
      <c r="AH10" s="735">
        <f t="shared" si="15"/>
        <v>0</v>
      </c>
    </row>
    <row r="11" spans="1:38" ht="15.75" thickBot="1" x14ac:dyDescent="0.3">
      <c r="X11" s="680" t="s">
        <v>851</v>
      </c>
      <c r="Y11" s="730">
        <f>(1-INP_Assumptions!$C$8)^(Y8-$X$8)</f>
        <v>0.96499999999999997</v>
      </c>
      <c r="Z11" s="731">
        <f>(1-INP_Assumptions!$C$8)^(Z8-$X$8)</f>
        <v>0.93122499999999997</v>
      </c>
      <c r="AA11" s="731">
        <f>(1-INP_Assumptions!$C$8)^(AA8-$X$8)</f>
        <v>0.89863212499999989</v>
      </c>
      <c r="AB11" s="731">
        <f>(1-INP_Assumptions!$C$8)^(AB8-$X$8)</f>
        <v>0.86718000062499989</v>
      </c>
      <c r="AC11" s="731">
        <f>(1-INP_Assumptions!$C$8)^(AC8-$X$8)</f>
        <v>0.83682870060312486</v>
      </c>
      <c r="AD11" s="731">
        <f>(1-INP_Assumptions!$C$8)^(AD8-$X$8)</f>
        <v>0.80753969608201548</v>
      </c>
      <c r="AE11" s="731">
        <f>(1-INP_Assumptions!$C$8)^(AE8-$X$8)</f>
        <v>0.77927580671914487</v>
      </c>
      <c r="AF11" s="731">
        <f>(1-INP_Assumptions!$C$8)^(AF8-$X$8)</f>
        <v>0.75200115348397478</v>
      </c>
      <c r="AG11" s="731">
        <f>(1-INP_Assumptions!$C$8)^(AG8-$X$8)</f>
        <v>0.72568111311203565</v>
      </c>
      <c r="AH11" s="732">
        <f>(1-INP_Assumptions!$C$8)^(AH8-$X$8)</f>
        <v>0.70028227415311439</v>
      </c>
      <c r="AI11" s="739"/>
    </row>
    <row r="12" spans="1:38" ht="15.75" thickBot="1" x14ac:dyDescent="0.3">
      <c r="X12" s="680" t="s">
        <v>852</v>
      </c>
      <c r="Y12" s="744">
        <f>Y9*Y11</f>
        <v>3.2086250000000001</v>
      </c>
      <c r="Z12" s="745">
        <f t="shared" ref="Z12:AH12" si="16">Z9*Z11</f>
        <v>5.2148600000000007</v>
      </c>
      <c r="AA12" s="745">
        <f t="shared" si="16"/>
        <v>3.7742549250000006</v>
      </c>
      <c r="AB12" s="745">
        <f t="shared" si="16"/>
        <v>2.42810400175</v>
      </c>
      <c r="AC12" s="745">
        <f t="shared" si="16"/>
        <v>1.171560180844375</v>
      </c>
      <c r="AD12" s="745">
        <f t="shared" si="16"/>
        <v>0.14131944681435271</v>
      </c>
      <c r="AE12" s="745">
        <f t="shared" si="16"/>
        <v>0</v>
      </c>
      <c r="AF12" s="745">
        <f t="shared" si="16"/>
        <v>0</v>
      </c>
      <c r="AG12" s="745">
        <f t="shared" si="16"/>
        <v>0</v>
      </c>
      <c r="AH12" s="746">
        <f t="shared" si="16"/>
        <v>0</v>
      </c>
      <c r="AI12" s="747">
        <f>SUM(Y12:AH12)</f>
        <v>15.93872355440873</v>
      </c>
    </row>
    <row r="13" spans="1:38" ht="15.75" thickBot="1" x14ac:dyDescent="0.3">
      <c r="X13" s="680" t="s">
        <v>853</v>
      </c>
      <c r="Y13" s="744">
        <f>Y9</f>
        <v>3.3250000000000002</v>
      </c>
      <c r="Z13" s="745">
        <f t="shared" ref="Z13:AC13" si="17">Z9</f>
        <v>5.6000000000000005</v>
      </c>
      <c r="AA13" s="745">
        <f t="shared" si="17"/>
        <v>4.2000000000000011</v>
      </c>
      <c r="AB13" s="745">
        <f t="shared" si="17"/>
        <v>2.8000000000000003</v>
      </c>
      <c r="AC13" s="746">
        <f t="shared" si="17"/>
        <v>1.4000000000000001</v>
      </c>
      <c r="AD13" s="743">
        <f>SUM(AD9:AH9)</f>
        <v>0.17500000000000002</v>
      </c>
      <c r="AE13" s="740">
        <v>0</v>
      </c>
      <c r="AF13" s="741">
        <v>0</v>
      </c>
      <c r="AG13" s="741">
        <v>0</v>
      </c>
      <c r="AH13" s="742">
        <v>0</v>
      </c>
    </row>
    <row r="14" spans="1:38" x14ac:dyDescent="0.25">
      <c r="X14" s="680" t="s">
        <v>854</v>
      </c>
      <c r="Y14" s="739">
        <f>Y13*Y11</f>
        <v>3.2086250000000001</v>
      </c>
      <c r="Z14" s="739">
        <f t="shared" ref="Z14:AD14" si="18">Z13*Z11</f>
        <v>5.2148600000000007</v>
      </c>
      <c r="AA14" s="739">
        <f t="shared" si="18"/>
        <v>3.7742549250000006</v>
      </c>
      <c r="AB14" s="739">
        <f t="shared" si="18"/>
        <v>2.42810400175</v>
      </c>
      <c r="AC14" s="739">
        <f t="shared" si="18"/>
        <v>1.171560180844375</v>
      </c>
      <c r="AD14" s="739">
        <f t="shared" si="18"/>
        <v>0.14131944681435271</v>
      </c>
      <c r="AI14" s="747">
        <f>SUM(Y14:AH14)</f>
        <v>15.93872355440873</v>
      </c>
    </row>
    <row r="15" spans="1:38" x14ac:dyDescent="0.25">
      <c r="X15" s="680"/>
      <c r="AH15" s="680" t="s">
        <v>818</v>
      </c>
      <c r="AI15" s="79">
        <f>AI12/AI14</f>
        <v>1</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M15"/>
  <sheetViews>
    <sheetView workbookViewId="0"/>
  </sheetViews>
  <sheetFormatPr defaultRowHeight="15" x14ac:dyDescent="0.25"/>
  <cols>
    <col min="33" max="33" width="9.5703125" customWidth="1"/>
    <col min="39" max="39" width="20.42578125" customWidth="1"/>
  </cols>
  <sheetData>
    <row r="1" spans="1:39" ht="15.75" thickBot="1" x14ac:dyDescent="0.3">
      <c r="A1" t="s">
        <v>823</v>
      </c>
      <c r="AK1" s="78">
        <f>(1-INP_Assumptions!$C$8)^(AK2-$AG$2)</f>
        <v>0.89863212499999989</v>
      </c>
    </row>
    <row r="2" spans="1:39" ht="15.75" thickBot="1" x14ac:dyDescent="0.3">
      <c r="A2" t="s">
        <v>122</v>
      </c>
      <c r="B2" s="36">
        <v>100</v>
      </c>
      <c r="D2" s="63" t="s">
        <v>120</v>
      </c>
      <c r="E2" s="65" t="s">
        <v>121</v>
      </c>
      <c r="F2" s="65" t="s">
        <v>120</v>
      </c>
      <c r="G2" s="65" t="s">
        <v>121</v>
      </c>
      <c r="H2" s="65" t="s">
        <v>120</v>
      </c>
      <c r="I2" s="65" t="s">
        <v>121</v>
      </c>
      <c r="J2" s="65" t="s">
        <v>120</v>
      </c>
      <c r="K2" s="65" t="s">
        <v>121</v>
      </c>
      <c r="L2" s="65" t="s">
        <v>120</v>
      </c>
      <c r="M2" s="65" t="s">
        <v>121</v>
      </c>
      <c r="N2" s="65" t="s">
        <v>120</v>
      </c>
      <c r="O2" s="65" t="s">
        <v>121</v>
      </c>
      <c r="P2" s="65" t="s">
        <v>120</v>
      </c>
      <c r="Q2" s="65" t="s">
        <v>121</v>
      </c>
      <c r="R2" s="65" t="s">
        <v>120</v>
      </c>
      <c r="S2" s="65" t="s">
        <v>121</v>
      </c>
      <c r="T2" s="65" t="s">
        <v>120</v>
      </c>
      <c r="U2" s="65" t="s">
        <v>121</v>
      </c>
      <c r="V2" s="137" t="s">
        <v>120</v>
      </c>
      <c r="W2" s="60"/>
      <c r="X2">
        <v>2019</v>
      </c>
      <c r="Y2" s="63">
        <f>D3</f>
        <v>2020</v>
      </c>
      <c r="Z2" s="65">
        <f>F3</f>
        <v>2021</v>
      </c>
      <c r="AA2" s="65">
        <f>H3</f>
        <v>2022</v>
      </c>
      <c r="AB2" s="65">
        <f>J3</f>
        <v>2023</v>
      </c>
      <c r="AC2" s="65">
        <f>L3</f>
        <v>2024</v>
      </c>
      <c r="AD2" s="65" t="s">
        <v>186</v>
      </c>
      <c r="AE2" s="65"/>
      <c r="AF2" s="65">
        <f>N3</f>
        <v>2025</v>
      </c>
      <c r="AG2" s="65">
        <f>P3</f>
        <v>2026</v>
      </c>
      <c r="AH2" s="65">
        <f>R3</f>
        <v>2027</v>
      </c>
      <c r="AI2" s="65">
        <f>T3</f>
        <v>2028</v>
      </c>
      <c r="AJ2" s="65">
        <f>V3</f>
        <v>2029</v>
      </c>
      <c r="AK2" s="65">
        <f>V3</f>
        <v>2029</v>
      </c>
      <c r="AL2" s="60"/>
      <c r="AM2" t="s">
        <v>178</v>
      </c>
    </row>
    <row r="3" spans="1:39" ht="19.5" thickBot="1" x14ac:dyDescent="0.35">
      <c r="D3" s="66">
        <v>2020</v>
      </c>
      <c r="E3" s="60">
        <v>2020</v>
      </c>
      <c r="F3" s="60">
        <v>2021</v>
      </c>
      <c r="G3" s="60">
        <v>2021</v>
      </c>
      <c r="H3" s="60">
        <v>2022</v>
      </c>
      <c r="I3" s="60">
        <v>2022</v>
      </c>
      <c r="J3" s="60">
        <v>2023</v>
      </c>
      <c r="K3" s="60">
        <v>2023</v>
      </c>
      <c r="L3" s="60">
        <v>2024</v>
      </c>
      <c r="M3" s="60">
        <v>2024</v>
      </c>
      <c r="N3" s="60">
        <v>2025</v>
      </c>
      <c r="O3" s="60">
        <v>2025</v>
      </c>
      <c r="P3" s="60">
        <v>2026</v>
      </c>
      <c r="Q3" s="60">
        <v>2026</v>
      </c>
      <c r="R3" s="60">
        <v>2027</v>
      </c>
      <c r="S3" s="60">
        <v>2027</v>
      </c>
      <c r="T3" s="60">
        <v>2028</v>
      </c>
      <c r="U3" s="60">
        <v>2028</v>
      </c>
      <c r="V3" s="125">
        <v>2029</v>
      </c>
      <c r="W3" s="60"/>
      <c r="Y3" s="756">
        <f>D6+E6</f>
        <v>3.3250000000000002</v>
      </c>
      <c r="Z3" s="756">
        <f>F6+G6</f>
        <v>5.6000000000000005</v>
      </c>
      <c r="AA3" s="756">
        <f>H6+I6</f>
        <v>4.2000000000000011</v>
      </c>
      <c r="AB3" s="756">
        <f>J6+K6</f>
        <v>2.8000000000000003</v>
      </c>
      <c r="AC3" s="756">
        <f>L6+M6</f>
        <v>1.4000000000000001</v>
      </c>
      <c r="AD3" s="729" t="s">
        <v>850</v>
      </c>
      <c r="AE3" s="146"/>
      <c r="AF3" s="756">
        <f>N6+O6</f>
        <v>0.17500000000000002</v>
      </c>
      <c r="AG3" s="756">
        <f>P6+Q6</f>
        <v>0</v>
      </c>
      <c r="AH3" s="756">
        <f>R6+S6</f>
        <v>0</v>
      </c>
      <c r="AI3" s="756">
        <f>T6+U6</f>
        <v>0</v>
      </c>
      <c r="AJ3" s="756">
        <f>V6+X6</f>
        <v>0</v>
      </c>
      <c r="AK3" s="145">
        <f>V6+X6</f>
        <v>0</v>
      </c>
      <c r="AL3" s="146"/>
    </row>
    <row r="4" spans="1:39" ht="15.75" thickBot="1" x14ac:dyDescent="0.3">
      <c r="A4" t="s">
        <v>124</v>
      </c>
      <c r="B4" s="699">
        <f>B2/INP_Assumptions!C11/2</f>
        <v>10</v>
      </c>
      <c r="C4" t="s">
        <v>123</v>
      </c>
      <c r="D4" s="138">
        <v>0</v>
      </c>
      <c r="E4" s="139">
        <f>B2-B4/2</f>
        <v>95</v>
      </c>
      <c r="F4" s="140">
        <f>MAX(E4-$B$4,0)</f>
        <v>85</v>
      </c>
      <c r="G4" s="140">
        <f t="shared" ref="G4:V4" si="0">MAX(F4-$B$4,0)</f>
        <v>75</v>
      </c>
      <c r="H4" s="140">
        <f t="shared" si="0"/>
        <v>65</v>
      </c>
      <c r="I4" s="140">
        <f t="shared" si="0"/>
        <v>55</v>
      </c>
      <c r="J4" s="140">
        <f t="shared" si="0"/>
        <v>45</v>
      </c>
      <c r="K4" s="140">
        <f t="shared" si="0"/>
        <v>35</v>
      </c>
      <c r="L4" s="140">
        <f t="shared" si="0"/>
        <v>25</v>
      </c>
      <c r="M4" s="140">
        <f t="shared" si="0"/>
        <v>15</v>
      </c>
      <c r="N4" s="140">
        <f t="shared" si="0"/>
        <v>5</v>
      </c>
      <c r="O4" s="140">
        <f t="shared" si="0"/>
        <v>0</v>
      </c>
      <c r="P4" s="140">
        <f t="shared" si="0"/>
        <v>0</v>
      </c>
      <c r="Q4" s="140">
        <f t="shared" si="0"/>
        <v>0</v>
      </c>
      <c r="R4" s="140">
        <f t="shared" si="0"/>
        <v>0</v>
      </c>
      <c r="S4" s="140">
        <f t="shared" si="0"/>
        <v>0</v>
      </c>
      <c r="T4" s="140">
        <f t="shared" si="0"/>
        <v>0</v>
      </c>
      <c r="U4" s="140">
        <f t="shared" si="0"/>
        <v>0</v>
      </c>
      <c r="V4" s="141">
        <f t="shared" si="0"/>
        <v>0</v>
      </c>
      <c r="W4" s="140"/>
      <c r="Y4" s="749">
        <f t="shared" ref="Y4:AJ4" si="1">Y3/$B$2</f>
        <v>3.3250000000000002E-2</v>
      </c>
      <c r="Z4" s="750">
        <f t="shared" si="1"/>
        <v>5.6000000000000008E-2</v>
      </c>
      <c r="AA4" s="750">
        <f t="shared" si="1"/>
        <v>4.200000000000001E-2</v>
      </c>
      <c r="AB4" s="750">
        <f t="shared" si="1"/>
        <v>2.8000000000000004E-2</v>
      </c>
      <c r="AC4" s="751">
        <f t="shared" si="1"/>
        <v>1.4000000000000002E-2</v>
      </c>
      <c r="AD4" s="752">
        <f>SUM(AF4:AJ4)</f>
        <v>1.7500000000000003E-3</v>
      </c>
      <c r="AE4" s="572" t="s">
        <v>810</v>
      </c>
      <c r="AF4" s="753">
        <f>AF3/$B$2</f>
        <v>1.7500000000000003E-3</v>
      </c>
      <c r="AG4" s="754">
        <f t="shared" si="1"/>
        <v>0</v>
      </c>
      <c r="AH4" s="754">
        <f t="shared" si="1"/>
        <v>0</v>
      </c>
      <c r="AI4" s="754">
        <f t="shared" si="1"/>
        <v>0</v>
      </c>
      <c r="AJ4" s="755">
        <f t="shared" si="1"/>
        <v>0</v>
      </c>
      <c r="AK4" s="571">
        <f t="shared" ref="AK4" si="2">AK3/$B$2</f>
        <v>0</v>
      </c>
      <c r="AL4" s="572"/>
      <c r="AM4" s="570">
        <f>SUM(Y4:AK4)-AD4</f>
        <v>0.17500000000000004</v>
      </c>
    </row>
    <row r="5" spans="1:39" x14ac:dyDescent="0.25">
      <c r="A5" t="s">
        <v>826</v>
      </c>
      <c r="B5" s="36"/>
      <c r="D5" s="138"/>
      <c r="E5" s="139"/>
      <c r="F5" s="140"/>
      <c r="G5" s="140"/>
      <c r="H5" s="140"/>
      <c r="I5" s="140"/>
      <c r="J5" s="140"/>
      <c r="K5" s="140"/>
      <c r="L5" s="140"/>
      <c r="M5" s="140"/>
      <c r="N5" s="140"/>
      <c r="O5" s="140"/>
      <c r="P5" s="140"/>
      <c r="Q5" s="140"/>
      <c r="R5" s="140"/>
      <c r="S5" s="140"/>
      <c r="T5" s="140"/>
      <c r="U5" s="140"/>
      <c r="V5" s="141"/>
      <c r="W5" s="140"/>
      <c r="Y5" s="572"/>
      <c r="Z5" s="572"/>
      <c r="AA5" s="572"/>
      <c r="AB5" s="572"/>
      <c r="AC5" s="572"/>
      <c r="AD5" s="572"/>
      <c r="AE5" s="572"/>
      <c r="AH5" s="572"/>
      <c r="AI5" s="572"/>
      <c r="AJ5" s="572"/>
      <c r="AK5" s="572"/>
      <c r="AL5" s="572"/>
      <c r="AM5" s="748"/>
    </row>
    <row r="6" spans="1:39" ht="15.75" thickBot="1" x14ac:dyDescent="0.3">
      <c r="A6" s="31">
        <f>INP_Assumptions!$C$12</f>
        <v>7.0000000000000007E-2</v>
      </c>
      <c r="C6" t="s">
        <v>125</v>
      </c>
      <c r="D6" s="142">
        <f>D4*$A$6/2</f>
        <v>0</v>
      </c>
      <c r="E6" s="143">
        <f t="shared" ref="E6:V6" si="3">E4*$A$6/2</f>
        <v>3.3250000000000002</v>
      </c>
      <c r="F6" s="143">
        <f t="shared" si="3"/>
        <v>2.9750000000000001</v>
      </c>
      <c r="G6" s="143">
        <f t="shared" si="3"/>
        <v>2.6250000000000004</v>
      </c>
      <c r="H6" s="143">
        <f t="shared" si="3"/>
        <v>2.2750000000000004</v>
      </c>
      <c r="I6" s="143">
        <f t="shared" si="3"/>
        <v>1.9250000000000003</v>
      </c>
      <c r="J6" s="143">
        <f t="shared" si="3"/>
        <v>1.5750000000000002</v>
      </c>
      <c r="K6" s="143">
        <f t="shared" si="3"/>
        <v>1.2250000000000001</v>
      </c>
      <c r="L6" s="143">
        <f t="shared" si="3"/>
        <v>0.87500000000000011</v>
      </c>
      <c r="M6" s="143">
        <f t="shared" si="3"/>
        <v>0.52500000000000002</v>
      </c>
      <c r="N6" s="143">
        <f t="shared" si="3"/>
        <v>0.17500000000000002</v>
      </c>
      <c r="O6" s="143">
        <f t="shared" si="3"/>
        <v>0</v>
      </c>
      <c r="P6" s="143">
        <f t="shared" si="3"/>
        <v>0</v>
      </c>
      <c r="Q6" s="143">
        <f t="shared" si="3"/>
        <v>0</v>
      </c>
      <c r="R6" s="143">
        <f t="shared" si="3"/>
        <v>0</v>
      </c>
      <c r="S6" s="143">
        <f t="shared" si="3"/>
        <v>0</v>
      </c>
      <c r="T6" s="143">
        <f t="shared" si="3"/>
        <v>0</v>
      </c>
      <c r="U6" s="143">
        <f t="shared" si="3"/>
        <v>0</v>
      </c>
      <c r="V6" s="144">
        <f t="shared" si="3"/>
        <v>0</v>
      </c>
      <c r="W6" s="140"/>
      <c r="Y6" s="748"/>
      <c r="Z6" s="748"/>
      <c r="AA6" s="748"/>
      <c r="AB6" s="748"/>
      <c r="AC6" s="748"/>
      <c r="AD6" s="748"/>
      <c r="AE6" s="748"/>
      <c r="AF6" s="23"/>
      <c r="AG6" s="9"/>
      <c r="AH6" s="9"/>
      <c r="AI6" s="9"/>
      <c r="AJ6" s="9"/>
      <c r="AK6" s="9"/>
      <c r="AM6" s="679"/>
    </row>
    <row r="7" spans="1:39" ht="15.75" thickBot="1" x14ac:dyDescent="0.3">
      <c r="AG7" s="572"/>
    </row>
    <row r="8" spans="1:39" ht="15.75" thickBot="1" x14ac:dyDescent="0.3">
      <c r="X8">
        <v>2019</v>
      </c>
      <c r="Y8" s="730">
        <f t="shared" ref="Y8:AC10" si="4">Y2</f>
        <v>2020</v>
      </c>
      <c r="Z8" s="731">
        <f t="shared" si="4"/>
        <v>2021</v>
      </c>
      <c r="AA8" s="731">
        <f t="shared" si="4"/>
        <v>2022</v>
      </c>
      <c r="AB8" s="731">
        <f t="shared" si="4"/>
        <v>2023</v>
      </c>
      <c r="AC8" s="732">
        <f t="shared" si="4"/>
        <v>2024</v>
      </c>
      <c r="AD8" s="730">
        <f t="shared" ref="AD8:AH10" si="5">AF2</f>
        <v>2025</v>
      </c>
      <c r="AE8" s="731">
        <f t="shared" si="5"/>
        <v>2026</v>
      </c>
      <c r="AF8" s="731">
        <f t="shared" si="5"/>
        <v>2027</v>
      </c>
      <c r="AG8" s="731">
        <f t="shared" si="5"/>
        <v>2028</v>
      </c>
      <c r="AH8" s="732">
        <f t="shared" si="5"/>
        <v>2029</v>
      </c>
      <c r="AL8" s="680"/>
    </row>
    <row r="9" spans="1:39" ht="15.75" thickBot="1" x14ac:dyDescent="0.3">
      <c r="Y9" s="736">
        <f t="shared" si="4"/>
        <v>3.3250000000000002</v>
      </c>
      <c r="Z9" s="737">
        <f t="shared" si="4"/>
        <v>5.6000000000000005</v>
      </c>
      <c r="AA9" s="737">
        <f t="shared" si="4"/>
        <v>4.2000000000000011</v>
      </c>
      <c r="AB9" s="737">
        <f t="shared" si="4"/>
        <v>2.8000000000000003</v>
      </c>
      <c r="AC9" s="738">
        <f t="shared" si="4"/>
        <v>1.4000000000000001</v>
      </c>
      <c r="AD9" s="736">
        <f t="shared" si="5"/>
        <v>0.17500000000000002</v>
      </c>
      <c r="AE9" s="737">
        <f t="shared" si="5"/>
        <v>0</v>
      </c>
      <c r="AF9" s="737">
        <f t="shared" si="5"/>
        <v>0</v>
      </c>
      <c r="AG9" s="737">
        <f t="shared" si="5"/>
        <v>0</v>
      </c>
      <c r="AH9" s="738">
        <f t="shared" si="5"/>
        <v>0</v>
      </c>
    </row>
    <row r="10" spans="1:39" ht="15.75" thickBot="1" x14ac:dyDescent="0.3">
      <c r="Y10" s="733">
        <f t="shared" si="4"/>
        <v>3.3250000000000002E-2</v>
      </c>
      <c r="Z10" s="734">
        <f t="shared" si="4"/>
        <v>5.6000000000000008E-2</v>
      </c>
      <c r="AA10" s="734">
        <f t="shared" si="4"/>
        <v>4.200000000000001E-2</v>
      </c>
      <c r="AB10" s="734">
        <f t="shared" si="4"/>
        <v>2.8000000000000004E-2</v>
      </c>
      <c r="AC10" s="735">
        <f t="shared" si="4"/>
        <v>1.4000000000000002E-2</v>
      </c>
      <c r="AD10" s="733">
        <f t="shared" si="5"/>
        <v>1.7500000000000003E-3</v>
      </c>
      <c r="AE10" s="734">
        <f t="shared" si="5"/>
        <v>0</v>
      </c>
      <c r="AF10" s="734">
        <f t="shared" si="5"/>
        <v>0</v>
      </c>
      <c r="AG10" s="734">
        <f t="shared" si="5"/>
        <v>0</v>
      </c>
      <c r="AH10" s="735">
        <f t="shared" si="5"/>
        <v>0</v>
      </c>
    </row>
    <row r="11" spans="1:39" ht="15.75" thickBot="1" x14ac:dyDescent="0.3">
      <c r="X11" s="680" t="s">
        <v>851</v>
      </c>
      <c r="Y11" s="730">
        <f>(1-INP_Assumptions!$C$8)^(Y8-$X$8)</f>
        <v>0.96499999999999997</v>
      </c>
      <c r="Z11" s="731">
        <f>(1-INP_Assumptions!$C$8)^(Z8-$X$8)</f>
        <v>0.93122499999999997</v>
      </c>
      <c r="AA11" s="731">
        <f>(1-INP_Assumptions!$C$8)^(AA8-$X$8)</f>
        <v>0.89863212499999989</v>
      </c>
      <c r="AB11" s="731">
        <f>(1-INP_Assumptions!$C$8)^(AB8-$X$8)</f>
        <v>0.86718000062499989</v>
      </c>
      <c r="AC11" s="731">
        <f>(1-INP_Assumptions!$C$8)^(AC8-$X$8)</f>
        <v>0.83682870060312486</v>
      </c>
      <c r="AD11" s="731">
        <f>(1-INP_Assumptions!$C$8)^(AD8-$X$8)</f>
        <v>0.80753969608201548</v>
      </c>
      <c r="AE11" s="731">
        <f>(1-INP_Assumptions!$C$8)^(AE8-$X$8)</f>
        <v>0.77927580671914487</v>
      </c>
      <c r="AF11" s="731">
        <f>(1-INP_Assumptions!$C$8)^(AF8-$X$8)</f>
        <v>0.75200115348397478</v>
      </c>
      <c r="AG11" s="731">
        <f>(1-INP_Assumptions!$C$8)^(AG8-$X$8)</f>
        <v>0.72568111311203565</v>
      </c>
      <c r="AH11" s="732">
        <f>(1-INP_Assumptions!$C$8)^(AH8-$X$8)</f>
        <v>0.70028227415311439</v>
      </c>
    </row>
    <row r="12" spans="1:39" ht="15.75" thickBot="1" x14ac:dyDescent="0.3">
      <c r="X12" s="680" t="s">
        <v>852</v>
      </c>
      <c r="Y12" s="744">
        <f>Y9*Y11</f>
        <v>3.2086250000000001</v>
      </c>
      <c r="Z12" s="745">
        <f t="shared" ref="Z12:AH12" si="6">Z9*Z11</f>
        <v>5.2148600000000007</v>
      </c>
      <c r="AA12" s="745">
        <f t="shared" si="6"/>
        <v>3.7742549250000006</v>
      </c>
      <c r="AB12" s="745">
        <f t="shared" si="6"/>
        <v>2.42810400175</v>
      </c>
      <c r="AC12" s="745">
        <f t="shared" si="6"/>
        <v>1.171560180844375</v>
      </c>
      <c r="AD12" s="745">
        <f t="shared" si="6"/>
        <v>0.14131944681435271</v>
      </c>
      <c r="AE12" s="745">
        <f t="shared" si="6"/>
        <v>0</v>
      </c>
      <c r="AF12" s="745">
        <f t="shared" si="6"/>
        <v>0</v>
      </c>
      <c r="AG12" s="745">
        <f t="shared" si="6"/>
        <v>0</v>
      </c>
      <c r="AH12" s="746">
        <f t="shared" si="6"/>
        <v>0</v>
      </c>
      <c r="AI12" s="739">
        <f>SUM(Y12:AH12)</f>
        <v>15.93872355440873</v>
      </c>
    </row>
    <row r="13" spans="1:39" ht="15.75" thickBot="1" x14ac:dyDescent="0.3">
      <c r="X13" s="680" t="s">
        <v>853</v>
      </c>
      <c r="Y13" s="744">
        <f>Y9</f>
        <v>3.3250000000000002</v>
      </c>
      <c r="Z13" s="745">
        <f t="shared" ref="Z13:AC13" si="7">Z9</f>
        <v>5.6000000000000005</v>
      </c>
      <c r="AA13" s="745">
        <f t="shared" si="7"/>
        <v>4.2000000000000011</v>
      </c>
      <c r="AB13" s="745">
        <f t="shared" si="7"/>
        <v>2.8000000000000003</v>
      </c>
      <c r="AC13" s="746">
        <f t="shared" si="7"/>
        <v>1.4000000000000001</v>
      </c>
      <c r="AD13" s="743">
        <f>SUM(AD9:AH9)</f>
        <v>0.17500000000000002</v>
      </c>
      <c r="AE13" s="740">
        <v>0</v>
      </c>
      <c r="AF13" s="741">
        <v>0</v>
      </c>
      <c r="AG13" s="741">
        <v>0</v>
      </c>
      <c r="AH13" s="742">
        <v>0</v>
      </c>
      <c r="AI13" s="739"/>
    </row>
    <row r="14" spans="1:39" x14ac:dyDescent="0.25">
      <c r="X14" s="680" t="s">
        <v>854</v>
      </c>
      <c r="Y14" s="739">
        <f>Y13*Y11</f>
        <v>3.2086250000000001</v>
      </c>
      <c r="Z14" s="739">
        <f t="shared" ref="Z14:AD14" si="8">Z13*Z11</f>
        <v>5.2148600000000007</v>
      </c>
      <c r="AA14" s="739">
        <f t="shared" si="8"/>
        <v>3.7742549250000006</v>
      </c>
      <c r="AB14" s="739">
        <f t="shared" si="8"/>
        <v>2.42810400175</v>
      </c>
      <c r="AC14" s="739">
        <f t="shared" si="8"/>
        <v>1.171560180844375</v>
      </c>
      <c r="AD14" s="739">
        <f t="shared" si="8"/>
        <v>0.14131944681435271</v>
      </c>
      <c r="AI14" s="739">
        <f>SUM(Y14:AH14)</f>
        <v>15.93872355440873</v>
      </c>
    </row>
    <row r="15" spans="1:39" x14ac:dyDescent="0.25">
      <c r="X15" s="680"/>
      <c r="AH15" s="680" t="s">
        <v>818</v>
      </c>
      <c r="AI15" s="79">
        <f>AI12/AI14</f>
        <v>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5050"/>
  </sheetPr>
  <dimension ref="A1:AA46"/>
  <sheetViews>
    <sheetView zoomScale="70" zoomScaleNormal="70" workbookViewId="0"/>
  </sheetViews>
  <sheetFormatPr defaultColWidth="12.85546875" defaultRowHeight="15" x14ac:dyDescent="0.25"/>
  <cols>
    <col min="2" max="2" width="25.85546875" customWidth="1"/>
    <col min="4" max="4" width="34.85546875" customWidth="1"/>
    <col min="10" max="10" width="16.5703125" customWidth="1"/>
    <col min="16" max="16" width="15.5703125" customWidth="1"/>
    <col min="21" max="21" width="15.5703125" customWidth="1"/>
  </cols>
  <sheetData>
    <row r="1" spans="1:27" x14ac:dyDescent="0.25">
      <c r="B1" s="313" t="str">
        <f>CALC_Funding!B1</f>
        <v>Cordon 3_CAZ C</v>
      </c>
    </row>
    <row r="2" spans="1:27" ht="45" x14ac:dyDescent="0.25">
      <c r="D2" t="s">
        <v>328</v>
      </c>
      <c r="G2" t="s">
        <v>329</v>
      </c>
      <c r="H2" s="42" t="str">
        <f>CALC_Funding!AI1</f>
        <v>Early Measures Fund</v>
      </c>
      <c r="I2" s="42" t="str">
        <f>CALC_Funding!AJ1</f>
        <v>OLEV Funding</v>
      </c>
      <c r="J2" s="42" t="str">
        <f>CALC_Funding!AK1</f>
        <v>Implementation Fund</v>
      </c>
      <c r="K2" s="42" t="str">
        <f>CALC_Funding!AL1</f>
        <v>Clean Air Fund</v>
      </c>
      <c r="L2" s="42" t="str">
        <f>CALC_Funding!AM1</f>
        <v>Other Government Funding</v>
      </c>
      <c r="M2" s="42" t="str">
        <f>CALC_Funding!AN1</f>
        <v>Council Funded</v>
      </c>
      <c r="N2" s="42" t="str">
        <f>CALC_Funding!AO1</f>
        <v>Private Sector Funded</v>
      </c>
      <c r="O2" s="42" t="str">
        <f>CALC_Funding!AP1</f>
        <v>General Public Funded</v>
      </c>
      <c r="P2" s="21" t="s">
        <v>178</v>
      </c>
      <c r="R2" t="s">
        <v>330</v>
      </c>
      <c r="S2" s="42" t="str">
        <f>CALC_Funding!AV1</f>
        <v>Early Measures Fund</v>
      </c>
      <c r="T2" s="42" t="str">
        <f>CALC_Funding!AW1</f>
        <v>OLEV Funding</v>
      </c>
      <c r="U2" s="42" t="str">
        <f>CALC_Funding!AX1</f>
        <v>Implementation Fund</v>
      </c>
      <c r="V2" s="42" t="str">
        <f>CALC_Funding!AY1</f>
        <v>Clean Air Fund</v>
      </c>
      <c r="W2" s="42" t="str">
        <f>CALC_Funding!AZ1</f>
        <v>Other Government Funding</v>
      </c>
      <c r="X2" s="42" t="str">
        <f>CALC_Funding!BA1</f>
        <v>Council Funded</v>
      </c>
      <c r="Y2" s="42" t="str">
        <f>CALC_Funding!BB1</f>
        <v>Private Sector Funded</v>
      </c>
      <c r="Z2" s="42" t="str">
        <f>CALC_Funding!BC1</f>
        <v>General Public Funded</v>
      </c>
      <c r="AA2" s="21" t="s">
        <v>178</v>
      </c>
    </row>
    <row r="3" spans="1:27" ht="15.75" thickBot="1" x14ac:dyDescent="0.3">
      <c r="E3" s="80">
        <f>SUM(E5:E32)</f>
        <v>52.601656631643841</v>
      </c>
      <c r="F3" s="80">
        <f>SUM(F5:F32)</f>
        <v>67.536190096720645</v>
      </c>
      <c r="H3" s="80">
        <f t="shared" ref="H3:O3" si="0">SUM(H5:H32)</f>
        <v>1.9521000000000002</v>
      </c>
      <c r="I3" s="80">
        <f t="shared" si="0"/>
        <v>1.9124999999999999</v>
      </c>
      <c r="J3" s="80">
        <f t="shared" si="0"/>
        <v>28.148914320000003</v>
      </c>
      <c r="K3" s="80">
        <f t="shared" si="0"/>
        <v>15.045450000000001</v>
      </c>
      <c r="L3" s="80">
        <f t="shared" si="0"/>
        <v>3</v>
      </c>
      <c r="M3" s="80">
        <f t="shared" si="0"/>
        <v>0.26250000000000001</v>
      </c>
      <c r="N3" s="80">
        <f t="shared" si="0"/>
        <v>2.2801923116438334</v>
      </c>
      <c r="O3" s="80">
        <f t="shared" si="0"/>
        <v>0</v>
      </c>
      <c r="P3" s="328">
        <f>SUM(H3:O3)</f>
        <v>52.601656631643841</v>
      </c>
      <c r="S3" s="80">
        <f t="shared" ref="S3:Z3" si="1">SUM(S5:S32)</f>
        <v>1.9521000000000002</v>
      </c>
      <c r="T3" s="80">
        <f t="shared" si="1"/>
        <v>1.8126502499999999</v>
      </c>
      <c r="U3" s="80">
        <f t="shared" si="1"/>
        <v>26.346161057137635</v>
      </c>
      <c r="V3" s="80">
        <f t="shared" si="1"/>
        <v>13.92623405956861</v>
      </c>
      <c r="W3" s="80">
        <f t="shared" si="1"/>
        <v>3</v>
      </c>
      <c r="X3" s="80">
        <f t="shared" si="1"/>
        <v>0.2533125</v>
      </c>
      <c r="Y3" s="80">
        <f t="shared" si="1"/>
        <v>20.245732230014411</v>
      </c>
      <c r="Z3" s="80">
        <f t="shared" si="1"/>
        <v>0</v>
      </c>
      <c r="AA3" s="328">
        <f>SUM(S3:Z3)</f>
        <v>67.536190096720645</v>
      </c>
    </row>
    <row r="4" spans="1:27" ht="15.75" thickBot="1" x14ac:dyDescent="0.3">
      <c r="A4" s="901" t="s">
        <v>467</v>
      </c>
      <c r="B4" s="902"/>
      <c r="C4" t="s">
        <v>36</v>
      </c>
      <c r="D4" t="s">
        <v>308</v>
      </c>
      <c r="E4" t="str">
        <f>CALC_Funding!S5</f>
        <v>Total Cost (undiscounted)</v>
      </c>
      <c r="F4" t="str">
        <f>CALC_Funding!T5</f>
        <v>Total Cost (Discounted)</v>
      </c>
      <c r="P4" s="21"/>
      <c r="AA4" s="21"/>
    </row>
    <row r="5" spans="1:27" x14ac:dyDescent="0.25">
      <c r="A5" s="37">
        <v>1</v>
      </c>
      <c r="B5" s="40" t="str">
        <f>VLOOKUP(A5,INP_Aggegation_Categories!$B$2:$C$12,2,FALSE)</f>
        <v>CAZ-related</v>
      </c>
      <c r="C5" t="s">
        <v>37</v>
      </c>
      <c r="D5" s="284" t="s">
        <v>309</v>
      </c>
      <c r="E5" s="78">
        <f>SUMIF(CALC_Funding!$F:$F,$D5,CALC_Funding!S:S)/INP_Assumptions!$C$19</f>
        <v>3.6320000000000001</v>
      </c>
      <c r="F5" s="78">
        <f>SUMIF(CALC_Funding!$F:$F,$D5,CALC_Funding!T:T)/INP_Assumptions!$C$19</f>
        <v>3.4344350184652748</v>
      </c>
      <c r="G5" s="78"/>
      <c r="H5" s="82">
        <f>SUMIF(CALC_Funding!$F:$F,$D5,CALC_Funding!AI:AI)/INP_Assumptions!$C$19</f>
        <v>0</v>
      </c>
      <c r="I5" s="83">
        <f>SUMIF(CALC_Funding!$F:$F,$D5,CALC_Funding!AJ:AJ)/INP_Assumptions!$C$19</f>
        <v>0</v>
      </c>
      <c r="J5" s="83">
        <f>SUMIF(CALC_Funding!$F:$F,$D5,CALC_Funding!AK:AK)/INP_Assumptions!$C$19</f>
        <v>3.6320000000000001</v>
      </c>
      <c r="K5" s="83">
        <f>SUMIF(CALC_Funding!$F:$F,$D5,CALC_Funding!AL:AL)/INP_Assumptions!$C$19</f>
        <v>0</v>
      </c>
      <c r="L5" s="83">
        <f>SUMIF(CALC_Funding!$F:$F,$D5,CALC_Funding!AM:AM)/INP_Assumptions!$C$19</f>
        <v>0</v>
      </c>
      <c r="M5" s="83">
        <f>SUMIF(CALC_Funding!$F:$F,$D5,CALC_Funding!AN:AN)/INP_Assumptions!$C$19</f>
        <v>0</v>
      </c>
      <c r="N5" s="83">
        <f>SUMIF(CALC_Funding!$F:$F,$D5,CALC_Funding!AO:AO)/INP_Assumptions!$C$19</f>
        <v>0</v>
      </c>
      <c r="O5" s="83">
        <f>SUMIF(CALC_Funding!$F:$F,$D5,CALC_Funding!AP:AP)/INP_Assumptions!$C$19</f>
        <v>0</v>
      </c>
      <c r="P5" s="328">
        <f>SUM(H5:O5)</f>
        <v>3.6320000000000001</v>
      </c>
      <c r="Q5" s="361"/>
      <c r="S5" s="82">
        <f>SUMIF(CALC_Funding!$F:$F,$D5,CALC_Funding!AV:AV)/INP_Assumptions!$C$19</f>
        <v>0</v>
      </c>
      <c r="T5" s="83">
        <f>SUMIF(CALC_Funding!$F:$F,$D5,CALC_Funding!AW:AW)/INP_Assumptions!$C$19</f>
        <v>0</v>
      </c>
      <c r="U5" s="83">
        <f>SUMIF(CALC_Funding!$F:$F,$D5,CALC_Funding!AX:AX)/INP_Assumptions!$C$19</f>
        <v>3.4344350184652748</v>
      </c>
      <c r="V5" s="83">
        <f>SUMIF(CALC_Funding!$F:$F,$D5,CALC_Funding!AY:AY)/INP_Assumptions!$C$19</f>
        <v>0</v>
      </c>
      <c r="W5" s="83">
        <f>SUMIF(CALC_Funding!$F:$F,$D5,CALC_Funding!AZ:AZ)/INP_Assumptions!$C$19</f>
        <v>0</v>
      </c>
      <c r="X5" s="83">
        <f>SUMIF(CALC_Funding!$F:$F,$D5,CALC_Funding!BA:BA)/INP_Assumptions!$C$19</f>
        <v>0</v>
      </c>
      <c r="Y5" s="83">
        <f>SUMIF(CALC_Funding!$F:$F,$D5,CALC_Funding!BB:BB)/INP_Assumptions!$C$19</f>
        <v>0</v>
      </c>
      <c r="Z5" s="83">
        <f>SUMIF(CALC_Funding!$F:$F,$D5,CALC_Funding!BC:BC)/INP_Assumptions!$C$19</f>
        <v>0</v>
      </c>
      <c r="AA5" s="328">
        <f>SUM(S5:Z5)</f>
        <v>3.4344350184652748</v>
      </c>
    </row>
    <row r="6" spans="1:27" x14ac:dyDescent="0.25">
      <c r="A6" s="37">
        <v>2</v>
      </c>
      <c r="B6" s="40" t="str">
        <f>VLOOKUP(A6,INP_Aggegation_Categories!$B$2:$C$12,2,FALSE)</f>
        <v>Private Cars</v>
      </c>
      <c r="C6" t="s">
        <v>37</v>
      </c>
      <c r="D6" s="284" t="s">
        <v>310</v>
      </c>
      <c r="E6" s="78">
        <f>SUMIF(CALC_Funding!$F:$F,$D6,CALC_Funding!S:S)/INP_Assumptions!$C$19</f>
        <v>0</v>
      </c>
      <c r="F6" s="78">
        <f>SUMIF(CALC_Funding!$F:$F,$D6,CALC_Funding!T:T)/INP_Assumptions!$C$19</f>
        <v>0</v>
      </c>
      <c r="G6" s="78"/>
      <c r="H6" s="84">
        <f>SUMIF(CALC_Funding!$F:$F,$D6,CALC_Funding!AI:AI)/INP_Assumptions!$C$19</f>
        <v>0</v>
      </c>
      <c r="I6" s="81">
        <f>SUMIF(CALC_Funding!$F:$F,$D6,CALC_Funding!AJ:AJ)/INP_Assumptions!$C$19</f>
        <v>0</v>
      </c>
      <c r="J6" s="81">
        <f>SUMIF(CALC_Funding!$F:$F,$D6,CALC_Funding!AK:AK)/INP_Assumptions!$C$19</f>
        <v>0</v>
      </c>
      <c r="K6" s="81">
        <f>SUMIF(CALC_Funding!$F:$F,$D6,CALC_Funding!AL:AL)/INP_Assumptions!$C$19</f>
        <v>0</v>
      </c>
      <c r="L6" s="81">
        <f>SUMIF(CALC_Funding!$F:$F,$D6,CALC_Funding!AM:AM)/INP_Assumptions!$C$19</f>
        <v>0</v>
      </c>
      <c r="M6" s="81">
        <f>SUMIF(CALC_Funding!$F:$F,$D6,CALC_Funding!AN:AN)/INP_Assumptions!$C$19</f>
        <v>0</v>
      </c>
      <c r="N6" s="81">
        <f>SUMIF(CALC_Funding!$F:$F,$D6,CALC_Funding!AO:AO)/INP_Assumptions!$C$19</f>
        <v>0</v>
      </c>
      <c r="O6" s="81">
        <f>SUMIF(CALC_Funding!$F:$F,$D6,CALC_Funding!AP:AP)/INP_Assumptions!$C$19</f>
        <v>0</v>
      </c>
      <c r="P6" s="328">
        <f t="shared" ref="P6:P32" si="2">SUM(H6:O6)</f>
        <v>0</v>
      </c>
      <c r="Q6" s="361"/>
      <c r="S6" s="84">
        <f>SUMIF(CALC_Funding!$F:$F,$D6,CALC_Funding!AV:AV)/INP_Assumptions!$C$19</f>
        <v>0</v>
      </c>
      <c r="T6" s="81">
        <f>SUMIF(CALC_Funding!$F:$F,$D6,CALC_Funding!AW:AW)/INP_Assumptions!$C$19</f>
        <v>0</v>
      </c>
      <c r="U6" s="81">
        <f>SUMIF(CALC_Funding!$F:$F,$D6,CALC_Funding!AX:AX)/INP_Assumptions!$C$19</f>
        <v>0</v>
      </c>
      <c r="V6" s="81">
        <f>SUMIF(CALC_Funding!$F:$F,$D6,CALC_Funding!AY:AY)/INP_Assumptions!$C$19</f>
        <v>0</v>
      </c>
      <c r="W6" s="81">
        <f>SUMIF(CALC_Funding!$F:$F,$D6,CALC_Funding!AZ:AZ)/INP_Assumptions!$C$19</f>
        <v>0</v>
      </c>
      <c r="X6" s="81">
        <f>SUMIF(CALC_Funding!$F:$F,$D6,CALC_Funding!BA:BA)/INP_Assumptions!$C$19</f>
        <v>0</v>
      </c>
      <c r="Y6" s="81">
        <f>SUMIF(CALC_Funding!$F:$F,$D6,CALC_Funding!BB:BB)/INP_Assumptions!$C$19</f>
        <v>0</v>
      </c>
      <c r="Z6" s="81">
        <f>SUMIF(CALC_Funding!$F:$F,$D6,CALC_Funding!BC:BC)/INP_Assumptions!$C$19</f>
        <v>0</v>
      </c>
      <c r="AA6" s="328">
        <f t="shared" ref="AA6:AA32" si="3">SUM(S6:Z6)</f>
        <v>0</v>
      </c>
    </row>
    <row r="7" spans="1:27" x14ac:dyDescent="0.25">
      <c r="A7" s="37">
        <v>2</v>
      </c>
      <c r="B7" s="40" t="str">
        <f>VLOOKUP(A7,INP_Aggegation_Categories!$B$2:$C$12,2,FALSE)</f>
        <v>Private Cars</v>
      </c>
      <c r="C7" t="s">
        <v>38</v>
      </c>
      <c r="D7" s="284" t="s">
        <v>311</v>
      </c>
      <c r="E7" s="78">
        <f>SUMIF(CALC_Funding!$F:$F,$D7,CALC_Funding!S:S)/INP_Assumptions!$C$19</f>
        <v>0</v>
      </c>
      <c r="F7" s="78">
        <f>SUMIF(CALC_Funding!$F:$F,$D7,CALC_Funding!T:T)/INP_Assumptions!$C$19</f>
        <v>0</v>
      </c>
      <c r="G7" s="78"/>
      <c r="H7" s="84">
        <f>SUMIF(CALC_Funding!$F:$F,$D7,CALC_Funding!AI:AI)/INP_Assumptions!$C$19</f>
        <v>0</v>
      </c>
      <c r="I7" s="81">
        <f>SUMIF(CALC_Funding!$F:$F,$D7,CALC_Funding!AJ:AJ)/INP_Assumptions!$C$19</f>
        <v>0</v>
      </c>
      <c r="J7" s="81">
        <f>SUMIF(CALC_Funding!$F:$F,$D7,CALC_Funding!AK:AK)/INP_Assumptions!$C$19</f>
        <v>0</v>
      </c>
      <c r="K7" s="81">
        <f>SUMIF(CALC_Funding!$F:$F,$D7,CALC_Funding!AL:AL)/INP_Assumptions!$C$19</f>
        <v>0</v>
      </c>
      <c r="L7" s="81">
        <f>SUMIF(CALC_Funding!$F:$F,$D7,CALC_Funding!AM:AM)/INP_Assumptions!$C$19</f>
        <v>0</v>
      </c>
      <c r="M7" s="81">
        <f>SUMIF(CALC_Funding!$F:$F,$D7,CALC_Funding!AN:AN)/INP_Assumptions!$C$19</f>
        <v>0</v>
      </c>
      <c r="N7" s="81">
        <f>SUMIF(CALC_Funding!$F:$F,$D7,CALC_Funding!AO:AO)/INP_Assumptions!$C$19</f>
        <v>0</v>
      </c>
      <c r="O7" s="81">
        <f>SUMIF(CALC_Funding!$F:$F,$D7,CALC_Funding!AP:AP)/INP_Assumptions!$C$19</f>
        <v>0</v>
      </c>
      <c r="P7" s="328">
        <f t="shared" si="2"/>
        <v>0</v>
      </c>
      <c r="Q7" s="361"/>
      <c r="S7" s="84">
        <f>SUMIF(CALC_Funding!$F:$F,$D7,CALC_Funding!AV:AV)/INP_Assumptions!$C$19</f>
        <v>0</v>
      </c>
      <c r="T7" s="81">
        <f>SUMIF(CALC_Funding!$F:$F,$D7,CALC_Funding!AW:AW)/INP_Assumptions!$C$19</f>
        <v>0</v>
      </c>
      <c r="U7" s="81">
        <f>SUMIF(CALC_Funding!$F:$F,$D7,CALC_Funding!AX:AX)/INP_Assumptions!$C$19</f>
        <v>0</v>
      </c>
      <c r="V7" s="81">
        <f>SUMIF(CALC_Funding!$F:$F,$D7,CALC_Funding!AY:AY)/INP_Assumptions!$C$19</f>
        <v>0</v>
      </c>
      <c r="W7" s="81">
        <f>SUMIF(CALC_Funding!$F:$F,$D7,CALC_Funding!AZ:AZ)/INP_Assumptions!$C$19</f>
        <v>0</v>
      </c>
      <c r="X7" s="81">
        <f>SUMIF(CALC_Funding!$F:$F,$D7,CALC_Funding!BA:BA)/INP_Assumptions!$C$19</f>
        <v>0</v>
      </c>
      <c r="Y7" s="81">
        <f>SUMIF(CALC_Funding!$F:$F,$D7,CALC_Funding!BB:BB)/INP_Assumptions!$C$19</f>
        <v>0</v>
      </c>
      <c r="Z7" s="81">
        <f>SUMIF(CALC_Funding!$F:$F,$D7,CALC_Funding!BC:BC)/INP_Assumptions!$C$19</f>
        <v>0</v>
      </c>
      <c r="AA7" s="328">
        <f t="shared" si="3"/>
        <v>0</v>
      </c>
    </row>
    <row r="8" spans="1:27" x14ac:dyDescent="0.25">
      <c r="A8" s="37">
        <v>2</v>
      </c>
      <c r="B8" s="40" t="str">
        <f>VLOOKUP(A8,INP_Aggegation_Categories!$B$2:$C$12,2,FALSE)</f>
        <v>Private Cars</v>
      </c>
      <c r="C8" t="s">
        <v>114</v>
      </c>
      <c r="D8" s="284" t="s">
        <v>312</v>
      </c>
      <c r="E8" s="78">
        <f>SUMIF(CALC_Funding!$F:$F,$D8,CALC_Funding!S:S)/INP_Assumptions!$C$19</f>
        <v>0</v>
      </c>
      <c r="F8" s="78">
        <f>SUMIF(CALC_Funding!$F:$F,$D8,CALC_Funding!T:T)/INP_Assumptions!$C$19</f>
        <v>0</v>
      </c>
      <c r="G8" s="78"/>
      <c r="H8" s="84">
        <f>SUMIF(CALC_Funding!$F:$F,$D8,CALC_Funding!AI:AI)/INP_Assumptions!$C$19</f>
        <v>0</v>
      </c>
      <c r="I8" s="81">
        <f>SUMIF(CALC_Funding!$F:$F,$D8,CALC_Funding!AJ:AJ)/INP_Assumptions!$C$19</f>
        <v>0</v>
      </c>
      <c r="J8" s="81">
        <f>SUMIF(CALC_Funding!$F:$F,$D8,CALC_Funding!AK:AK)/INP_Assumptions!$C$19</f>
        <v>0</v>
      </c>
      <c r="K8" s="81">
        <f>SUMIF(CALC_Funding!$F:$F,$D8,CALC_Funding!AL:AL)/INP_Assumptions!$C$19</f>
        <v>0</v>
      </c>
      <c r="L8" s="81">
        <f>SUMIF(CALC_Funding!$F:$F,$D8,CALC_Funding!AM:AM)/INP_Assumptions!$C$19</f>
        <v>0</v>
      </c>
      <c r="M8" s="81">
        <f>SUMIF(CALC_Funding!$F:$F,$D8,CALC_Funding!AN:AN)/INP_Assumptions!$C$19</f>
        <v>0</v>
      </c>
      <c r="N8" s="81">
        <f>SUMIF(CALC_Funding!$F:$F,$D8,CALC_Funding!AO:AO)/INP_Assumptions!$C$19</f>
        <v>0</v>
      </c>
      <c r="O8" s="81">
        <f>SUMIF(CALC_Funding!$F:$F,$D8,CALC_Funding!AP:AP)/INP_Assumptions!$C$19</f>
        <v>0</v>
      </c>
      <c r="P8" s="328">
        <f t="shared" si="2"/>
        <v>0</v>
      </c>
      <c r="Q8" s="361"/>
      <c r="S8" s="84">
        <f>SUMIF(CALC_Funding!$F:$F,$D8,CALC_Funding!AV:AV)/INP_Assumptions!$C$19</f>
        <v>0</v>
      </c>
      <c r="T8" s="81">
        <f>SUMIF(CALC_Funding!$F:$F,$D8,CALC_Funding!AW:AW)/INP_Assumptions!$C$19</f>
        <v>0</v>
      </c>
      <c r="U8" s="81">
        <f>SUMIF(CALC_Funding!$F:$F,$D8,CALC_Funding!AX:AX)/INP_Assumptions!$C$19</f>
        <v>0</v>
      </c>
      <c r="V8" s="81">
        <f>SUMIF(CALC_Funding!$F:$F,$D8,CALC_Funding!AY:AY)/INP_Assumptions!$C$19</f>
        <v>0</v>
      </c>
      <c r="W8" s="81">
        <f>SUMIF(CALC_Funding!$F:$F,$D8,CALC_Funding!AZ:AZ)/INP_Assumptions!$C$19</f>
        <v>0</v>
      </c>
      <c r="X8" s="81">
        <f>SUMIF(CALC_Funding!$F:$F,$D8,CALC_Funding!BA:BA)/INP_Assumptions!$C$19</f>
        <v>0</v>
      </c>
      <c r="Y8" s="81">
        <f>SUMIF(CALC_Funding!$F:$F,$D8,CALC_Funding!BB:BB)/INP_Assumptions!$C$19</f>
        <v>0</v>
      </c>
      <c r="Z8" s="81">
        <f>SUMIF(CALC_Funding!$F:$F,$D8,CALC_Funding!BC:BC)/INP_Assumptions!$C$19</f>
        <v>0</v>
      </c>
      <c r="AA8" s="328">
        <f t="shared" si="3"/>
        <v>0</v>
      </c>
    </row>
    <row r="9" spans="1:27" x14ac:dyDescent="0.25">
      <c r="A9" s="37">
        <v>3</v>
      </c>
      <c r="B9" s="40" t="str">
        <f>VLOOKUP(A9,INP_Aggegation_Categories!$B$2:$C$12,2,FALSE)</f>
        <v>Taxis</v>
      </c>
      <c r="C9" t="s">
        <v>37</v>
      </c>
      <c r="D9" s="284" t="s">
        <v>313</v>
      </c>
      <c r="E9" s="78">
        <f>SUMIF(CALC_Funding!$F:$F,$D9,CALC_Funding!S:S)/INP_Assumptions!$C$19</f>
        <v>-13.128558356164385</v>
      </c>
      <c r="F9" s="78">
        <f>SUMIF(CALC_Funding!$F:$F,$D9,CALC_Funding!T:T)/INP_Assumptions!$C$19</f>
        <v>-6.8406161634292451</v>
      </c>
      <c r="G9" s="78"/>
      <c r="H9" s="84">
        <f>SUMIF(CALC_Funding!$F:$F,$D9,CALC_Funding!AI:AI)/INP_Assumptions!$C$19</f>
        <v>0.48499999999999999</v>
      </c>
      <c r="I9" s="81">
        <f>SUMIF(CALC_Funding!$F:$F,$D9,CALC_Funding!AJ:AJ)/INP_Assumptions!$C$19</f>
        <v>0</v>
      </c>
      <c r="J9" s="81">
        <f>SUMIF(CALC_Funding!$F:$F,$D9,CALC_Funding!AK:AK)/INP_Assumptions!$C$19</f>
        <v>1.4</v>
      </c>
      <c r="K9" s="81">
        <f>SUMIF(CALC_Funding!$F:$F,$D9,CALC_Funding!AL:AL)/INP_Assumptions!$C$19</f>
        <v>1.7150000000000001</v>
      </c>
      <c r="L9" s="81">
        <f>SUMIF(CALC_Funding!$F:$F,$D9,CALC_Funding!AM:AM)/INP_Assumptions!$C$19</f>
        <v>0</v>
      </c>
      <c r="M9" s="81">
        <f>SUMIF(CALC_Funding!$F:$F,$D9,CALC_Funding!AN:AN)/INP_Assumptions!$C$19</f>
        <v>0</v>
      </c>
      <c r="N9" s="81">
        <f>SUMIF(CALC_Funding!$F:$F,$D9,CALC_Funding!AO:AO)/INP_Assumptions!$C$19</f>
        <v>-16.728558356164385</v>
      </c>
      <c r="O9" s="81">
        <f>SUMIF(CALC_Funding!$F:$F,$D9,CALC_Funding!AP:AP)/INP_Assumptions!$C$19</f>
        <v>0</v>
      </c>
      <c r="P9" s="328">
        <f t="shared" si="2"/>
        <v>-13.128558356164385</v>
      </c>
      <c r="Q9" s="361"/>
      <c r="S9" s="84">
        <f>SUMIF(CALC_Funding!$F:$F,$D9,CALC_Funding!AV:AV)/INP_Assumptions!$C$19</f>
        <v>0.48499999999999999</v>
      </c>
      <c r="T9" s="81">
        <f>SUMIF(CALC_Funding!$F:$F,$D9,CALC_Funding!AW:AW)/INP_Assumptions!$C$19</f>
        <v>0</v>
      </c>
      <c r="U9" s="81">
        <f>SUMIF(CALC_Funding!$F:$F,$D9,CALC_Funding!AX:AX)/INP_Assumptions!$C$19</f>
        <v>1.35142875</v>
      </c>
      <c r="V9" s="81">
        <f>SUMIF(CALC_Funding!$F:$F,$D9,CALC_Funding!AY:AY)/INP_Assumptions!$C$19</f>
        <v>1.6555002187500001</v>
      </c>
      <c r="W9" s="81">
        <f>SUMIF(CALC_Funding!$F:$F,$D9,CALC_Funding!AZ:AZ)/INP_Assumptions!$C$19</f>
        <v>0</v>
      </c>
      <c r="X9" s="81">
        <f>SUMIF(CALC_Funding!$F:$F,$D9,CALC_Funding!BA:BA)/INP_Assumptions!$C$19</f>
        <v>0</v>
      </c>
      <c r="Y9" s="81">
        <f>SUMIF(CALC_Funding!$F:$F,$D9,CALC_Funding!BB:BB)/INP_Assumptions!$C$19</f>
        <v>-10.332545132179245</v>
      </c>
      <c r="Z9" s="81">
        <f>SUMIF(CALC_Funding!$F:$F,$D9,CALC_Funding!BC:BC)/INP_Assumptions!$C$19</f>
        <v>0</v>
      </c>
      <c r="AA9" s="328">
        <f t="shared" si="3"/>
        <v>-6.8406161634292451</v>
      </c>
    </row>
    <row r="10" spans="1:27" x14ac:dyDescent="0.25">
      <c r="A10" s="37">
        <v>3</v>
      </c>
      <c r="B10" s="40" t="str">
        <f>VLOOKUP(A10,INP_Aggegation_Categories!$B$2:$C$12,2,FALSE)</f>
        <v>Taxis</v>
      </c>
      <c r="C10" t="s">
        <v>38</v>
      </c>
      <c r="D10" s="284" t="s">
        <v>314</v>
      </c>
      <c r="E10" s="78">
        <f>SUMIF(CALC_Funding!$F:$F,$D10,CALC_Funding!S:S)/INP_Assumptions!$C$19</f>
        <v>-1.3129479452054791</v>
      </c>
      <c r="F10" s="78">
        <f>SUMIF(CALC_Funding!$F:$F,$D10,CALC_Funding!T:T)/INP_Assumptions!$C$19</f>
        <v>-0.55099699852637196</v>
      </c>
      <c r="G10" s="78"/>
      <c r="H10" s="84">
        <f>SUMIF(CALC_Funding!$F:$F,$D10,CALC_Funding!AI:AI)/INP_Assumptions!$C$19</f>
        <v>0</v>
      </c>
      <c r="I10" s="81">
        <f>SUMIF(CALC_Funding!$F:$F,$D10,CALC_Funding!AJ:AJ)/INP_Assumptions!$C$19</f>
        <v>0</v>
      </c>
      <c r="J10" s="81">
        <f>SUMIF(CALC_Funding!$F:$F,$D10,CALC_Funding!AK:AK)/INP_Assumptions!$C$19</f>
        <v>0.05</v>
      </c>
      <c r="K10" s="81">
        <f>SUMIF(CALC_Funding!$F:$F,$D10,CALC_Funding!AL:AL)/INP_Assumptions!$C$19</f>
        <v>0.11650000000000001</v>
      </c>
      <c r="L10" s="81">
        <f>SUMIF(CALC_Funding!$F:$F,$D10,CALC_Funding!AM:AM)/INP_Assumptions!$C$19</f>
        <v>0</v>
      </c>
      <c r="M10" s="81">
        <f>SUMIF(CALC_Funding!$F:$F,$D10,CALC_Funding!AN:AN)/INP_Assumptions!$C$19</f>
        <v>0</v>
      </c>
      <c r="N10" s="81">
        <f>SUMIF(CALC_Funding!$F:$F,$D10,CALC_Funding!AO:AO)/INP_Assumptions!$C$19</f>
        <v>-1.4794479452054792</v>
      </c>
      <c r="O10" s="81">
        <f>SUMIF(CALC_Funding!$F:$F,$D10,CALC_Funding!AP:AP)/INP_Assumptions!$C$19</f>
        <v>0</v>
      </c>
      <c r="P10" s="328">
        <f t="shared" si="2"/>
        <v>-1.3129479452054791</v>
      </c>
      <c r="Q10" s="361"/>
      <c r="S10" s="84">
        <f>SUMIF(CALC_Funding!$F:$F,$D10,CALC_Funding!AV:AV)/INP_Assumptions!$C$19</f>
        <v>0</v>
      </c>
      <c r="T10" s="81">
        <f>SUMIF(CALC_Funding!$F:$F,$D10,CALC_Funding!AW:AW)/INP_Assumptions!$C$19</f>
        <v>0</v>
      </c>
      <c r="U10" s="81">
        <f>SUMIF(CALC_Funding!$F:$F,$D10,CALC_Funding!AX:AX)/INP_Assumptions!$C$19</f>
        <v>4.8250000000000001E-2</v>
      </c>
      <c r="V10" s="81">
        <f>SUMIF(CALC_Funding!$F:$F,$D10,CALC_Funding!AY:AY)/INP_Assumptions!$C$19</f>
        <v>0.112458178125</v>
      </c>
      <c r="W10" s="81">
        <f>SUMIF(CALC_Funding!$F:$F,$D10,CALC_Funding!AZ:AZ)/INP_Assumptions!$C$19</f>
        <v>0</v>
      </c>
      <c r="X10" s="81">
        <f>SUMIF(CALC_Funding!$F:$F,$D10,CALC_Funding!BA:BA)/INP_Assumptions!$C$19</f>
        <v>0</v>
      </c>
      <c r="Y10" s="81">
        <f>SUMIF(CALC_Funding!$F:$F,$D10,CALC_Funding!BB:BB)/INP_Assumptions!$C$19</f>
        <v>-0.71170517665137201</v>
      </c>
      <c r="Z10" s="81">
        <f>SUMIF(CALC_Funding!$F:$F,$D10,CALC_Funding!BC:BC)/INP_Assumptions!$C$19</f>
        <v>0</v>
      </c>
      <c r="AA10" s="328">
        <f t="shared" si="3"/>
        <v>-0.55099699852637207</v>
      </c>
    </row>
    <row r="11" spans="1:27" x14ac:dyDescent="0.25">
      <c r="A11" s="37">
        <v>4</v>
      </c>
      <c r="B11" s="40" t="str">
        <f>VLOOKUP(A11,INP_Aggegation_Categories!$B$2:$C$12,2,FALSE)</f>
        <v>Buses</v>
      </c>
      <c r="C11" t="s">
        <v>37</v>
      </c>
      <c r="D11" s="284" t="s">
        <v>315</v>
      </c>
      <c r="E11" s="78">
        <f>SUMIF(CALC_Funding!$F:$F,$D11,CALC_Funding!S:S)/INP_Assumptions!$C$19</f>
        <v>8.9263686130136985</v>
      </c>
      <c r="F11" s="78">
        <f>SUMIF(CALC_Funding!$F:$F,$D11,CALC_Funding!T:T)/INP_Assumptions!$C$19</f>
        <v>8.8443316082239178</v>
      </c>
      <c r="G11" s="78"/>
      <c r="H11" s="84">
        <f>SUMIF(CALC_Funding!$F:$F,$D11,CALC_Funding!AI:AI)/INP_Assumptions!$C$19</f>
        <v>0</v>
      </c>
      <c r="I11" s="81">
        <f>SUMIF(CALC_Funding!$F:$F,$D11,CALC_Funding!AJ:AJ)/INP_Assumptions!$C$19</f>
        <v>0</v>
      </c>
      <c r="J11" s="81">
        <f>SUMIF(CALC_Funding!$F:$F,$D11,CALC_Funding!AK:AK)/INP_Assumptions!$C$19</f>
        <v>1.3740000000000001</v>
      </c>
      <c r="K11" s="81">
        <f>SUMIF(CALC_Funding!$F:$F,$D11,CALC_Funding!AL:AL)/INP_Assumptions!$C$19</f>
        <v>0</v>
      </c>
      <c r="L11" s="81">
        <f>SUMIF(CALC_Funding!$F:$F,$D11,CALC_Funding!AM:AM)/INP_Assumptions!$C$19</f>
        <v>3</v>
      </c>
      <c r="M11" s="81">
        <f>SUMIF(CALC_Funding!$F:$F,$D11,CALC_Funding!AN:AN)/INP_Assumptions!$C$19</f>
        <v>0</v>
      </c>
      <c r="N11" s="81">
        <f>SUMIF(CALC_Funding!$F:$F,$D11,CALC_Funding!AO:AO)/INP_Assumptions!$C$19</f>
        <v>4.5523686130136989</v>
      </c>
      <c r="O11" s="81">
        <f>SUMIF(CALC_Funding!$F:$F,$D11,CALC_Funding!AP:AP)/INP_Assumptions!$C$19</f>
        <v>0</v>
      </c>
      <c r="P11" s="328">
        <f t="shared" si="2"/>
        <v>8.9263686130137003</v>
      </c>
      <c r="Q11" s="361"/>
      <c r="S11" s="84">
        <f>SUMIF(CALC_Funding!$F:$F,$D11,CALC_Funding!AV:AV)/INP_Assumptions!$C$19</f>
        <v>0</v>
      </c>
      <c r="T11" s="81">
        <f>SUMIF(CALC_Funding!$F:$F,$D11,CALC_Funding!AW:AW)/INP_Assumptions!$C$19</f>
        <v>0</v>
      </c>
      <c r="U11" s="81">
        <f>SUMIF(CALC_Funding!$F:$F,$D11,CALC_Funding!AX:AX)/INP_Assumptions!$C$19</f>
        <v>1.349955</v>
      </c>
      <c r="V11" s="81">
        <f>SUMIF(CALC_Funding!$F:$F,$D11,CALC_Funding!AY:AY)/INP_Assumptions!$C$19</f>
        <v>0</v>
      </c>
      <c r="W11" s="81">
        <f>SUMIF(CALC_Funding!$F:$F,$D11,CALC_Funding!AZ:AZ)/INP_Assumptions!$C$19</f>
        <v>3</v>
      </c>
      <c r="X11" s="81">
        <f>SUMIF(CALC_Funding!$F:$F,$D11,CALC_Funding!BA:BA)/INP_Assumptions!$C$19</f>
        <v>0</v>
      </c>
      <c r="Y11" s="81">
        <f>SUMIF(CALC_Funding!$F:$F,$D11,CALC_Funding!BB:BB)/INP_Assumptions!$C$19</f>
        <v>4.4943766082239174</v>
      </c>
      <c r="Z11" s="81">
        <f>SUMIF(CALC_Funding!$F:$F,$D11,CALC_Funding!BC:BC)/INP_Assumptions!$C$19</f>
        <v>0</v>
      </c>
      <c r="AA11" s="328">
        <f t="shared" si="3"/>
        <v>8.8443316082239178</v>
      </c>
    </row>
    <row r="12" spans="1:27" x14ac:dyDescent="0.25">
      <c r="A12" s="37">
        <v>4</v>
      </c>
      <c r="B12" s="40" t="str">
        <f>VLOOKUP(A12,INP_Aggegation_Categories!$B$2:$C$12,2,FALSE)</f>
        <v>Buses</v>
      </c>
      <c r="C12" t="s">
        <v>38</v>
      </c>
      <c r="D12" s="284" t="s">
        <v>316</v>
      </c>
      <c r="E12" s="78">
        <f>SUMIF(CALC_Funding!$F:$F,$D12,CALC_Funding!S:S)/INP_Assumptions!$C$19</f>
        <v>1.6439999999999999</v>
      </c>
      <c r="F12" s="78">
        <f>SUMIF(CALC_Funding!$F:$F,$D12,CALC_Funding!T:T)/INP_Assumptions!$C$19</f>
        <v>1.6279349999999999</v>
      </c>
      <c r="G12" s="78"/>
      <c r="H12" s="84">
        <f>SUMIF(CALC_Funding!$F:$F,$D12,CALC_Funding!AI:AI)/INP_Assumptions!$C$19</f>
        <v>0</v>
      </c>
      <c r="I12" s="81">
        <f>SUMIF(CALC_Funding!$F:$F,$D12,CALC_Funding!AJ:AJ)/INP_Assumptions!$C$19</f>
        <v>0</v>
      </c>
      <c r="J12" s="81">
        <f>SUMIF(CALC_Funding!$F:$F,$D12,CALC_Funding!AK:AK)/INP_Assumptions!$C$19</f>
        <v>0.91800000000000004</v>
      </c>
      <c r="K12" s="81">
        <f>SUMIF(CALC_Funding!$F:$F,$D12,CALC_Funding!AL:AL)/INP_Assumptions!$C$19</f>
        <v>0</v>
      </c>
      <c r="L12" s="81">
        <f>SUMIF(CALC_Funding!$F:$F,$D12,CALC_Funding!AM:AM)/INP_Assumptions!$C$19</f>
        <v>0</v>
      </c>
      <c r="M12" s="81">
        <f>SUMIF(CALC_Funding!$F:$F,$D12,CALC_Funding!AN:AN)/INP_Assumptions!$C$19</f>
        <v>0</v>
      </c>
      <c r="N12" s="81">
        <f>SUMIF(CALC_Funding!$F:$F,$D12,CALC_Funding!AO:AO)/INP_Assumptions!$C$19</f>
        <v>0.72599999999999998</v>
      </c>
      <c r="O12" s="81">
        <f>SUMIF(CALC_Funding!$F:$F,$D12,CALC_Funding!AP:AP)/INP_Assumptions!$C$19</f>
        <v>0</v>
      </c>
      <c r="P12" s="328">
        <f t="shared" si="2"/>
        <v>1.6440000000000001</v>
      </c>
      <c r="Q12" s="361"/>
      <c r="S12" s="84">
        <f>SUMIF(CALC_Funding!$F:$F,$D12,CALC_Funding!AV:AV)/INP_Assumptions!$C$19</f>
        <v>0</v>
      </c>
      <c r="T12" s="81">
        <f>SUMIF(CALC_Funding!$F:$F,$D12,CALC_Funding!AW:AW)/INP_Assumptions!$C$19</f>
        <v>0</v>
      </c>
      <c r="U12" s="81">
        <f>SUMIF(CALC_Funding!$F:$F,$D12,CALC_Funding!AX:AX)/INP_Assumptions!$C$19</f>
        <v>0.90193500000000004</v>
      </c>
      <c r="V12" s="81">
        <f>SUMIF(CALC_Funding!$F:$F,$D12,CALC_Funding!AY:AY)/INP_Assumptions!$C$19</f>
        <v>0</v>
      </c>
      <c r="W12" s="81">
        <f>SUMIF(CALC_Funding!$F:$F,$D12,CALC_Funding!AZ:AZ)/INP_Assumptions!$C$19</f>
        <v>0</v>
      </c>
      <c r="X12" s="81">
        <f>SUMIF(CALC_Funding!$F:$F,$D12,CALC_Funding!BA:BA)/INP_Assumptions!$C$19</f>
        <v>0</v>
      </c>
      <c r="Y12" s="81">
        <f>SUMIF(CALC_Funding!$F:$F,$D12,CALC_Funding!BB:BB)/INP_Assumptions!$C$19</f>
        <v>0.72599999999999998</v>
      </c>
      <c r="Z12" s="81">
        <f>SUMIF(CALC_Funding!$F:$F,$D12,CALC_Funding!BC:BC)/INP_Assumptions!$C$19</f>
        <v>0</v>
      </c>
      <c r="AA12" s="328">
        <f t="shared" si="3"/>
        <v>1.6279349999999999</v>
      </c>
    </row>
    <row r="13" spans="1:27" x14ac:dyDescent="0.25">
      <c r="A13" s="37">
        <v>5</v>
      </c>
      <c r="B13" s="40" t="str">
        <f>VLOOKUP(A13,INP_Aggegation_Categories!$B$2:$C$12,2,FALSE)</f>
        <v>Goods Vehicles</v>
      </c>
      <c r="C13" t="s">
        <v>37</v>
      </c>
      <c r="D13" s="284" t="s">
        <v>482</v>
      </c>
      <c r="E13" s="78">
        <f>SUMIF(CALC_Funding!$F:$F,$D13,CALC_Funding!S:S)/INP_Assumptions!$C$19</f>
        <v>2.0499999999999998</v>
      </c>
      <c r="F13" s="78">
        <f>SUMIF(CALC_Funding!$F:$F,$D13,CALC_Funding!T:T)/INP_Assumptions!$C$19</f>
        <v>1.9787522500000001</v>
      </c>
      <c r="G13" s="78"/>
      <c r="H13" s="84">
        <f>SUMIF(CALC_Funding!$F:$F,$D13,CALC_Funding!AI:AI)/INP_Assumptions!$C$19</f>
        <v>0</v>
      </c>
      <c r="I13" s="81">
        <f>SUMIF(CALC_Funding!$F:$F,$D13,CALC_Funding!AJ:AJ)/INP_Assumptions!$C$19</f>
        <v>0</v>
      </c>
      <c r="J13" s="81">
        <f>SUMIF(CALC_Funding!$F:$F,$D13,CALC_Funding!AK:AK)/INP_Assumptions!$C$19</f>
        <v>0</v>
      </c>
      <c r="K13" s="81">
        <f>SUMIF(CALC_Funding!$F:$F,$D13,CALC_Funding!AL:AL)/INP_Assumptions!$C$19</f>
        <v>2.0499999999999998</v>
      </c>
      <c r="L13" s="81">
        <f>SUMIF(CALC_Funding!$F:$F,$D13,CALC_Funding!AM:AM)/INP_Assumptions!$C$19</f>
        <v>0</v>
      </c>
      <c r="M13" s="81">
        <f>SUMIF(CALC_Funding!$F:$F,$D13,CALC_Funding!AN:AN)/INP_Assumptions!$C$19</f>
        <v>0</v>
      </c>
      <c r="N13" s="81">
        <f>SUMIF(CALC_Funding!$F:$F,$D13,CALC_Funding!AO:AO)/INP_Assumptions!$C$19</f>
        <v>0</v>
      </c>
      <c r="O13" s="81">
        <f>SUMIF(CALC_Funding!$F:$F,$D13,CALC_Funding!AP:AP)/INP_Assumptions!$C$19</f>
        <v>0</v>
      </c>
      <c r="P13" s="328">
        <f t="shared" ref="P13" si="4">SUM(H13:O13)</f>
        <v>2.0499999999999998</v>
      </c>
      <c r="Q13" s="361"/>
      <c r="S13" s="84">
        <f>SUMIF(CALC_Funding!$F:$F,$D13,CALC_Funding!AV:AV)/INP_Assumptions!$C$19</f>
        <v>0</v>
      </c>
      <c r="T13" s="81">
        <f>SUMIF(CALC_Funding!$F:$F,$D13,CALC_Funding!AW:AW)/INP_Assumptions!$C$19</f>
        <v>0</v>
      </c>
      <c r="U13" s="81">
        <f>SUMIF(CALC_Funding!$F:$F,$D13,CALC_Funding!AX:AX)/INP_Assumptions!$C$19</f>
        <v>0</v>
      </c>
      <c r="V13" s="81">
        <f>SUMIF(CALC_Funding!$F:$F,$D13,CALC_Funding!AY:AY)/INP_Assumptions!$C$19</f>
        <v>1.9787522500000001</v>
      </c>
      <c r="W13" s="81">
        <f>SUMIF(CALC_Funding!$F:$F,$D13,CALC_Funding!AZ:AZ)/INP_Assumptions!$C$19</f>
        <v>0</v>
      </c>
      <c r="X13" s="81">
        <f>SUMIF(CALC_Funding!$F:$F,$D13,CALC_Funding!BA:BA)/INP_Assumptions!$C$19</f>
        <v>0</v>
      </c>
      <c r="Y13" s="81">
        <f>SUMIF(CALC_Funding!$F:$F,$D13,CALC_Funding!BB:BB)/INP_Assumptions!$C$19</f>
        <v>0</v>
      </c>
      <c r="Z13" s="81">
        <f>SUMIF(CALC_Funding!$F:$F,$D13,CALC_Funding!BC:BC)/INP_Assumptions!$C$19</f>
        <v>0</v>
      </c>
      <c r="AA13" s="328">
        <f t="shared" ref="AA13" si="5">SUM(S13:Z13)</f>
        <v>1.9787522500000001</v>
      </c>
    </row>
    <row r="14" spans="1:27" x14ac:dyDescent="0.25">
      <c r="A14" s="37">
        <v>5</v>
      </c>
      <c r="B14" s="40" t="str">
        <f>VLOOKUP(A14,INP_Aggegation_Categories!$B$2:$C$12,2,FALSE)</f>
        <v>Goods Vehicles</v>
      </c>
      <c r="C14" t="s">
        <v>483</v>
      </c>
      <c r="D14" s="284" t="s">
        <v>486</v>
      </c>
      <c r="E14" s="78">
        <f>SUMIF(CALC_Funding!$F:$F,$D14,CALC_Funding!S:S)/INP_Assumptions!$C$19</f>
        <v>11.52088</v>
      </c>
      <c r="F14" s="78">
        <f>SUMIF(CALC_Funding!$F:$F,$D14,CALC_Funding!T:T)/INP_Assumptions!$C$19</f>
        <v>15.834271902699395</v>
      </c>
      <c r="G14" s="78"/>
      <c r="H14" s="84">
        <f>SUMIF(CALC_Funding!$F:$F,$D14,CALC_Funding!AI:AI)/INP_Assumptions!$C$19</f>
        <v>0</v>
      </c>
      <c r="I14" s="81">
        <f>SUMIF(CALC_Funding!$F:$F,$D14,CALC_Funding!AJ:AJ)/INP_Assumptions!$C$19</f>
        <v>0</v>
      </c>
      <c r="J14" s="81">
        <f>SUMIF(CALC_Funding!$F:$F,$D14,CALC_Funding!AK:AK)/INP_Assumptions!$C$19</f>
        <v>0</v>
      </c>
      <c r="K14" s="81">
        <f>SUMIF(CALC_Funding!$F:$F,$D14,CALC_Funding!AL:AL)/INP_Assumptions!$C$19</f>
        <v>0</v>
      </c>
      <c r="L14" s="81">
        <f>SUMIF(CALC_Funding!$F:$F,$D14,CALC_Funding!AM:AM)/INP_Assumptions!$C$19</f>
        <v>0</v>
      </c>
      <c r="M14" s="81">
        <f>SUMIF(CALC_Funding!$F:$F,$D14,CALC_Funding!AN:AN)/INP_Assumptions!$C$19</f>
        <v>0</v>
      </c>
      <c r="N14" s="81">
        <f>SUMIF(CALC_Funding!$F:$F,$D14,CALC_Funding!AO:AO)/INP_Assumptions!$C$19</f>
        <v>11.52088</v>
      </c>
      <c r="O14" s="81">
        <f>SUMIF(CALC_Funding!$F:$F,$D14,CALC_Funding!AP:AP)/INP_Assumptions!$C$19</f>
        <v>0</v>
      </c>
      <c r="P14" s="328">
        <f t="shared" si="2"/>
        <v>11.52088</v>
      </c>
      <c r="Q14" s="361"/>
      <c r="S14" s="84">
        <f>SUMIF(CALC_Funding!$F:$F,$D14,CALC_Funding!AV:AV)/INP_Assumptions!$C$19</f>
        <v>0</v>
      </c>
      <c r="T14" s="81">
        <f>SUMIF(CALC_Funding!$F:$F,$D14,CALC_Funding!AW:AW)/INP_Assumptions!$C$19</f>
        <v>0</v>
      </c>
      <c r="U14" s="81">
        <f>SUMIF(CALC_Funding!$F:$F,$D14,CALC_Funding!AX:AX)/INP_Assumptions!$C$19</f>
        <v>0</v>
      </c>
      <c r="V14" s="81">
        <f>SUMIF(CALC_Funding!$F:$F,$D14,CALC_Funding!AY:AY)/INP_Assumptions!$C$19</f>
        <v>0</v>
      </c>
      <c r="W14" s="81">
        <f>SUMIF(CALC_Funding!$F:$F,$D14,CALC_Funding!AZ:AZ)/INP_Assumptions!$C$19</f>
        <v>0</v>
      </c>
      <c r="X14" s="81">
        <f>SUMIF(CALC_Funding!$F:$F,$D14,CALC_Funding!BA:BA)/INP_Assumptions!$C$19</f>
        <v>0</v>
      </c>
      <c r="Y14" s="81">
        <f>SUMIF(CALC_Funding!$F:$F,$D14,CALC_Funding!BB:BB)/INP_Assumptions!$C$19</f>
        <v>15.834271902699395</v>
      </c>
      <c r="Z14" s="81">
        <f>SUMIF(CALC_Funding!$F:$F,$D14,CALC_Funding!BC:BC)/INP_Assumptions!$C$19</f>
        <v>0</v>
      </c>
      <c r="AA14" s="328">
        <f t="shared" si="3"/>
        <v>15.834271902699395</v>
      </c>
    </row>
    <row r="15" spans="1:27" x14ac:dyDescent="0.25">
      <c r="A15" s="37">
        <v>5</v>
      </c>
      <c r="B15" s="40" t="str">
        <f>VLOOKUP(A15,INP_Aggegation_Categories!$B$2:$C$12,2,FALSE)</f>
        <v>Goods Vehicles</v>
      </c>
      <c r="C15" t="s">
        <v>483</v>
      </c>
      <c r="D15" s="284" t="s">
        <v>487</v>
      </c>
      <c r="E15" s="78">
        <f>SUMIF(CALC_Funding!$F:$F,$D15,CALC_Funding!S:S)/INP_Assumptions!$C$19</f>
        <v>3.2139500000000001</v>
      </c>
      <c r="F15" s="78">
        <f>SUMIF(CALC_Funding!$F:$F,$D15,CALC_Funding!T:T)/INP_Assumptions!$C$19</f>
        <v>9.7879297779217183</v>
      </c>
      <c r="G15" s="78"/>
      <c r="H15" s="84">
        <f>SUMIF(CALC_Funding!$F:$F,$D15,CALC_Funding!AI:AI)/INP_Assumptions!$C$19</f>
        <v>0</v>
      </c>
      <c r="I15" s="81">
        <f>SUMIF(CALC_Funding!$F:$F,$D15,CALC_Funding!AJ:AJ)/INP_Assumptions!$C$19</f>
        <v>0</v>
      </c>
      <c r="J15" s="81">
        <f>SUMIF(CALC_Funding!$F:$F,$D15,CALC_Funding!AK:AK)/INP_Assumptions!$C$19</f>
        <v>0</v>
      </c>
      <c r="K15" s="81">
        <f>SUMIF(CALC_Funding!$F:$F,$D15,CALC_Funding!AL:AL)/INP_Assumptions!$C$19</f>
        <v>0</v>
      </c>
      <c r="L15" s="81">
        <f>SUMIF(CALC_Funding!$F:$F,$D15,CALC_Funding!AM:AM)/INP_Assumptions!$C$19</f>
        <v>0</v>
      </c>
      <c r="M15" s="81">
        <f>SUMIF(CALC_Funding!$F:$F,$D15,CALC_Funding!AN:AN)/INP_Assumptions!$C$19</f>
        <v>0</v>
      </c>
      <c r="N15" s="81">
        <f>SUMIF(CALC_Funding!$F:$F,$D15,CALC_Funding!AO:AO)/INP_Assumptions!$C$19</f>
        <v>3.2139500000000001</v>
      </c>
      <c r="O15" s="81">
        <f>SUMIF(CALC_Funding!$F:$F,$D15,CALC_Funding!AP:AP)/INP_Assumptions!$C$19</f>
        <v>0</v>
      </c>
      <c r="P15" s="328">
        <f t="shared" ref="P15" si="6">SUM(H15:O15)</f>
        <v>3.2139500000000001</v>
      </c>
      <c r="Q15" s="361"/>
      <c r="S15" s="84">
        <f>SUMIF(CALC_Funding!$F:$F,$D15,CALC_Funding!AV:AV)/INP_Assumptions!$C$19</f>
        <v>0</v>
      </c>
      <c r="T15" s="81">
        <f>SUMIF(CALC_Funding!$F:$F,$D15,CALC_Funding!AW:AW)/INP_Assumptions!$C$19</f>
        <v>0</v>
      </c>
      <c r="U15" s="81">
        <f>SUMIF(CALC_Funding!$F:$F,$D15,CALC_Funding!AX:AX)/INP_Assumptions!$C$19</f>
        <v>0</v>
      </c>
      <c r="V15" s="81">
        <f>SUMIF(CALC_Funding!$F:$F,$D15,CALC_Funding!AY:AY)/INP_Assumptions!$C$19</f>
        <v>0</v>
      </c>
      <c r="W15" s="81">
        <f>SUMIF(CALC_Funding!$F:$F,$D15,CALC_Funding!AZ:AZ)/INP_Assumptions!$C$19</f>
        <v>0</v>
      </c>
      <c r="X15" s="81">
        <f>SUMIF(CALC_Funding!$F:$F,$D15,CALC_Funding!BA:BA)/INP_Assumptions!$C$19</f>
        <v>0</v>
      </c>
      <c r="Y15" s="81">
        <f>SUMIF(CALC_Funding!$F:$F,$D15,CALC_Funding!BB:BB)/INP_Assumptions!$C$19</f>
        <v>9.7879297779217183</v>
      </c>
      <c r="Z15" s="81">
        <f>SUMIF(CALC_Funding!$F:$F,$D15,CALC_Funding!BC:BC)/INP_Assumptions!$C$19</f>
        <v>0</v>
      </c>
      <c r="AA15" s="328">
        <f t="shared" ref="AA15" si="7">SUM(S15:Z15)</f>
        <v>9.7879297779217183</v>
      </c>
    </row>
    <row r="16" spans="1:27" x14ac:dyDescent="0.25">
      <c r="A16" s="37">
        <v>6</v>
      </c>
      <c r="B16" s="40" t="str">
        <f>VLOOKUP(A16,INP_Aggegation_Categories!$B$2:$C$12,2,FALSE)</f>
        <v>Roads</v>
      </c>
      <c r="C16" t="s">
        <v>37</v>
      </c>
      <c r="D16" s="284" t="s">
        <v>317</v>
      </c>
      <c r="E16" s="78">
        <f>SUMIF(CALC_Funding!$F:$F,$D16,CALC_Funding!S:S)/INP_Assumptions!$C$19</f>
        <v>0.25900000000000001</v>
      </c>
      <c r="F16" s="78">
        <f>SUMIF(CALC_Funding!$F:$F,$D16,CALC_Funding!T:T)/INP_Assumptions!$C$19</f>
        <v>0.2555</v>
      </c>
      <c r="G16" s="78"/>
      <c r="H16" s="84">
        <f>SUMIF(CALC_Funding!$F:$F,$D16,CALC_Funding!AI:AI)/INP_Assumptions!$C$19</f>
        <v>0.159</v>
      </c>
      <c r="I16" s="81">
        <f>SUMIF(CALC_Funding!$F:$F,$D16,CALC_Funding!AJ:AJ)/INP_Assumptions!$C$19</f>
        <v>0</v>
      </c>
      <c r="J16" s="81">
        <f>SUMIF(CALC_Funding!$F:$F,$D16,CALC_Funding!AK:AK)/INP_Assumptions!$C$19</f>
        <v>0.1</v>
      </c>
      <c r="K16" s="81">
        <f>SUMIF(CALC_Funding!$F:$F,$D16,CALC_Funding!AL:AL)/INP_Assumptions!$C$19</f>
        <v>0</v>
      </c>
      <c r="L16" s="81">
        <f>SUMIF(CALC_Funding!$F:$F,$D16,CALC_Funding!AM:AM)/INP_Assumptions!$C$19</f>
        <v>0</v>
      </c>
      <c r="M16" s="81">
        <f>SUMIF(CALC_Funding!$F:$F,$D16,CALC_Funding!AN:AN)/INP_Assumptions!$C$19</f>
        <v>0</v>
      </c>
      <c r="N16" s="81">
        <f>SUMIF(CALC_Funding!$F:$F,$D16,CALC_Funding!AO:AO)/INP_Assumptions!$C$19</f>
        <v>0</v>
      </c>
      <c r="O16" s="81">
        <f>SUMIF(CALC_Funding!$F:$F,$D16,CALC_Funding!AP:AP)/INP_Assumptions!$C$19</f>
        <v>0</v>
      </c>
      <c r="P16" s="328">
        <f t="shared" si="2"/>
        <v>0.25900000000000001</v>
      </c>
      <c r="Q16" s="361"/>
      <c r="S16" s="84">
        <f>SUMIF(CALC_Funding!$F:$F,$D16,CALC_Funding!AV:AV)/INP_Assumptions!$C$19</f>
        <v>0.159</v>
      </c>
      <c r="T16" s="81">
        <f>SUMIF(CALC_Funding!$F:$F,$D16,CALC_Funding!AW:AW)/INP_Assumptions!$C$19</f>
        <v>0</v>
      </c>
      <c r="U16" s="81">
        <f>SUMIF(CALC_Funding!$F:$F,$D16,CALC_Funding!AX:AX)/INP_Assumptions!$C$19</f>
        <v>9.6500000000000002E-2</v>
      </c>
      <c r="V16" s="81">
        <f>SUMIF(CALC_Funding!$F:$F,$D16,CALC_Funding!AY:AY)/INP_Assumptions!$C$19</f>
        <v>0</v>
      </c>
      <c r="W16" s="81">
        <f>SUMIF(CALC_Funding!$F:$F,$D16,CALC_Funding!AZ:AZ)/INP_Assumptions!$C$19</f>
        <v>0</v>
      </c>
      <c r="X16" s="81">
        <f>SUMIF(CALC_Funding!$F:$F,$D16,CALC_Funding!BA:BA)/INP_Assumptions!$C$19</f>
        <v>0</v>
      </c>
      <c r="Y16" s="81">
        <f>SUMIF(CALC_Funding!$F:$F,$D16,CALC_Funding!BB:BB)/INP_Assumptions!$C$19</f>
        <v>0</v>
      </c>
      <c r="Z16" s="81">
        <f>SUMIF(CALC_Funding!$F:$F,$D16,CALC_Funding!BC:BC)/INP_Assumptions!$C$19</f>
        <v>0</v>
      </c>
      <c r="AA16" s="328">
        <f t="shared" si="3"/>
        <v>0.2555</v>
      </c>
    </row>
    <row r="17" spans="1:27" x14ac:dyDescent="0.25">
      <c r="A17" s="37">
        <v>6</v>
      </c>
      <c r="B17" s="40" t="str">
        <f>VLOOKUP(A17,INP_Aggegation_Categories!$B$2:$C$12,2,FALSE)</f>
        <v>Roads</v>
      </c>
      <c r="C17" t="s">
        <v>38</v>
      </c>
      <c r="D17" s="284" t="s">
        <v>319</v>
      </c>
      <c r="E17" s="78">
        <f>SUMIF(CALC_Funding!$F:$F,$D17,CALC_Funding!S:S)/INP_Assumptions!$C$19</f>
        <v>0.91</v>
      </c>
      <c r="F17" s="78">
        <f>SUMIF(CALC_Funding!$F:$F,$D17,CALC_Funding!T:T)/INP_Assumptions!$C$19</f>
        <v>0.87814999999999999</v>
      </c>
      <c r="G17" s="78"/>
      <c r="H17" s="84">
        <f>SUMIF(CALC_Funding!$F:$F,$D17,CALC_Funding!AI:AI)/INP_Assumptions!$C$19</f>
        <v>0</v>
      </c>
      <c r="I17" s="81">
        <f>SUMIF(CALC_Funding!$F:$F,$D17,CALC_Funding!AJ:AJ)/INP_Assumptions!$C$19</f>
        <v>0</v>
      </c>
      <c r="J17" s="81">
        <f>SUMIF(CALC_Funding!$F:$F,$D17,CALC_Funding!AK:AK)/INP_Assumptions!$C$19</f>
        <v>0.91</v>
      </c>
      <c r="K17" s="81">
        <f>SUMIF(CALC_Funding!$F:$F,$D17,CALC_Funding!AL:AL)/INP_Assumptions!$C$19</f>
        <v>0</v>
      </c>
      <c r="L17" s="81">
        <f>SUMIF(CALC_Funding!$F:$F,$D17,CALC_Funding!AM:AM)/INP_Assumptions!$C$19</f>
        <v>0</v>
      </c>
      <c r="M17" s="81">
        <f>SUMIF(CALC_Funding!$F:$F,$D17,CALC_Funding!AN:AN)/INP_Assumptions!$C$19</f>
        <v>0</v>
      </c>
      <c r="N17" s="81">
        <f>SUMIF(CALC_Funding!$F:$F,$D17,CALC_Funding!AO:AO)/INP_Assumptions!$C$19</f>
        <v>0</v>
      </c>
      <c r="O17" s="81">
        <f>SUMIF(CALC_Funding!$F:$F,$D17,CALC_Funding!AP:AP)/INP_Assumptions!$C$19</f>
        <v>0</v>
      </c>
      <c r="P17" s="328">
        <f t="shared" si="2"/>
        <v>0.91</v>
      </c>
      <c r="Q17" s="361"/>
      <c r="S17" s="84">
        <f>SUMIF(CALC_Funding!$F:$F,$D17,CALC_Funding!AV:AV)/INP_Assumptions!$C$19</f>
        <v>0</v>
      </c>
      <c r="T17" s="81">
        <f>SUMIF(CALC_Funding!$F:$F,$D17,CALC_Funding!AW:AW)/INP_Assumptions!$C$19</f>
        <v>0</v>
      </c>
      <c r="U17" s="81">
        <f>SUMIF(CALC_Funding!$F:$F,$D17,CALC_Funding!AX:AX)/INP_Assumptions!$C$19</f>
        <v>0.87814999999999999</v>
      </c>
      <c r="V17" s="81">
        <f>SUMIF(CALC_Funding!$F:$F,$D17,CALC_Funding!AY:AY)/INP_Assumptions!$C$19</f>
        <v>0</v>
      </c>
      <c r="W17" s="81">
        <f>SUMIF(CALC_Funding!$F:$F,$D17,CALC_Funding!AZ:AZ)/INP_Assumptions!$C$19</f>
        <v>0</v>
      </c>
      <c r="X17" s="81">
        <f>SUMIF(CALC_Funding!$F:$F,$D17,CALC_Funding!BA:BA)/INP_Assumptions!$C$19</f>
        <v>0</v>
      </c>
      <c r="Y17" s="81">
        <f>SUMIF(CALC_Funding!$F:$F,$D17,CALC_Funding!BB:BB)/INP_Assumptions!$C$19</f>
        <v>0</v>
      </c>
      <c r="Z17" s="81">
        <f>SUMIF(CALC_Funding!$F:$F,$D17,CALC_Funding!BC:BC)/INP_Assumptions!$C$19</f>
        <v>0</v>
      </c>
      <c r="AA17" s="328">
        <f t="shared" si="3"/>
        <v>0.87814999999999999</v>
      </c>
    </row>
    <row r="18" spans="1:27" x14ac:dyDescent="0.25">
      <c r="A18" s="37">
        <v>6</v>
      </c>
      <c r="B18" s="40" t="str">
        <f>VLOOKUP(A18,INP_Aggegation_Categories!$B$2:$C$12,2,FALSE)</f>
        <v>Roads</v>
      </c>
      <c r="C18" t="s">
        <v>41</v>
      </c>
      <c r="D18" s="284" t="s">
        <v>318</v>
      </c>
      <c r="E18" s="78">
        <f>SUMIF(CALC_Funding!$F:$F,$D18,CALC_Funding!S:S)/INP_Assumptions!$C$19</f>
        <v>0</v>
      </c>
      <c r="F18" s="78">
        <f>SUMIF(CALC_Funding!$F:$F,$D18,CALC_Funding!T:T)/INP_Assumptions!$C$19</f>
        <v>0</v>
      </c>
      <c r="G18" s="78"/>
      <c r="H18" s="84">
        <f>SUMIF(CALC_Funding!$F:$F,$D18,CALC_Funding!AI:AI)/INP_Assumptions!$C$19</f>
        <v>0</v>
      </c>
      <c r="I18" s="81">
        <f>SUMIF(CALC_Funding!$F:$F,$D18,CALC_Funding!AJ:AJ)/INP_Assumptions!$C$19</f>
        <v>0</v>
      </c>
      <c r="J18" s="81">
        <f>SUMIF(CALC_Funding!$F:$F,$D18,CALC_Funding!AK:AK)/INP_Assumptions!$C$19</f>
        <v>0</v>
      </c>
      <c r="K18" s="81">
        <f>SUMIF(CALC_Funding!$F:$F,$D18,CALC_Funding!AL:AL)/INP_Assumptions!$C$19</f>
        <v>0</v>
      </c>
      <c r="L18" s="81">
        <f>SUMIF(CALC_Funding!$F:$F,$D18,CALC_Funding!AM:AM)/INP_Assumptions!$C$19</f>
        <v>0</v>
      </c>
      <c r="M18" s="81">
        <f>SUMIF(CALC_Funding!$F:$F,$D18,CALC_Funding!AN:AN)/INP_Assumptions!$C$19</f>
        <v>0</v>
      </c>
      <c r="N18" s="81">
        <f>SUMIF(CALC_Funding!$F:$F,$D18,CALC_Funding!AO:AO)/INP_Assumptions!$C$19</f>
        <v>0</v>
      </c>
      <c r="O18" s="81">
        <f>SUMIF(CALC_Funding!$F:$F,$D18,CALC_Funding!AP:AP)/INP_Assumptions!$C$19</f>
        <v>0</v>
      </c>
      <c r="P18" s="328">
        <f t="shared" si="2"/>
        <v>0</v>
      </c>
      <c r="Q18" s="361"/>
      <c r="S18" s="84">
        <f>SUMIF(CALC_Funding!$F:$F,$D18,CALC_Funding!AV:AV)/INP_Assumptions!$C$19</f>
        <v>0</v>
      </c>
      <c r="T18" s="81">
        <f>SUMIF(CALC_Funding!$F:$F,$D18,CALC_Funding!AW:AW)/INP_Assumptions!$C$19</f>
        <v>0</v>
      </c>
      <c r="U18" s="81">
        <f>SUMIF(CALC_Funding!$F:$F,$D18,CALC_Funding!AX:AX)/INP_Assumptions!$C$19</f>
        <v>0</v>
      </c>
      <c r="V18" s="81">
        <f>SUMIF(CALC_Funding!$F:$F,$D18,CALC_Funding!AY:AY)/INP_Assumptions!$C$19</f>
        <v>0</v>
      </c>
      <c r="W18" s="81">
        <f>SUMIF(CALC_Funding!$F:$F,$D18,CALC_Funding!AZ:AZ)/INP_Assumptions!$C$19</f>
        <v>0</v>
      </c>
      <c r="X18" s="81">
        <f>SUMIF(CALC_Funding!$F:$F,$D18,CALC_Funding!BA:BA)/INP_Assumptions!$C$19</f>
        <v>0</v>
      </c>
      <c r="Y18" s="81">
        <f>SUMIF(CALC_Funding!$F:$F,$D18,CALC_Funding!BB:BB)/INP_Assumptions!$C$19</f>
        <v>0</v>
      </c>
      <c r="Z18" s="81">
        <f>SUMIF(CALC_Funding!$F:$F,$D18,CALC_Funding!BC:BC)/INP_Assumptions!$C$19</f>
        <v>0</v>
      </c>
      <c r="AA18" s="328">
        <f t="shared" si="3"/>
        <v>0</v>
      </c>
    </row>
    <row r="19" spans="1:27" x14ac:dyDescent="0.25">
      <c r="A19" s="37">
        <v>10</v>
      </c>
      <c r="B19" s="40" t="str">
        <f>VLOOKUP(A19,INP_Aggegation_Categories!$B$2:$C$12,2,FALSE)</f>
        <v>Other Costs</v>
      </c>
      <c r="C19" t="s">
        <v>37</v>
      </c>
      <c r="D19" s="284" t="s">
        <v>320</v>
      </c>
      <c r="E19" s="78">
        <f>SUMIF(CALC_Funding!$F:$F,$D19,CALC_Funding!S:S)/INP_Assumptions!$C$19</f>
        <v>2.8650000000000002</v>
      </c>
      <c r="F19" s="78">
        <f>SUMIF(CALC_Funding!$F:$F,$D19,CALC_Funding!T:T)/INP_Assumptions!$C$19</f>
        <v>2.7388669999999999</v>
      </c>
      <c r="G19" s="78"/>
      <c r="H19" s="84">
        <f>SUMIF(CALC_Funding!$F:$F,$D19,CALC_Funding!AI:AI)/INP_Assumptions!$C$19</f>
        <v>0.51500000000000001</v>
      </c>
      <c r="I19" s="81">
        <f>SUMIF(CALC_Funding!$F:$F,$D19,CALC_Funding!AJ:AJ)/INP_Assumptions!$C$19</f>
        <v>1.7625</v>
      </c>
      <c r="J19" s="81">
        <f>SUMIF(CALC_Funding!$F:$F,$D19,CALC_Funding!AK:AK)/INP_Assumptions!$C$19</f>
        <v>0</v>
      </c>
      <c r="K19" s="81">
        <f>SUMIF(CALC_Funding!$F:$F,$D19,CALC_Funding!AL:AL)/INP_Assumptions!$C$19</f>
        <v>0</v>
      </c>
      <c r="L19" s="81">
        <f>SUMIF(CALC_Funding!$F:$F,$D19,CALC_Funding!AM:AM)/INP_Assumptions!$C$19</f>
        <v>0</v>
      </c>
      <c r="M19" s="81">
        <f>SUMIF(CALC_Funding!$F:$F,$D19,CALC_Funding!AN:AN)/INP_Assumptions!$C$19</f>
        <v>0.16250000000000001</v>
      </c>
      <c r="N19" s="81">
        <f>SUMIF(CALC_Funding!$F:$F,$D19,CALC_Funding!AO:AO)/INP_Assumptions!$C$19</f>
        <v>0.42499999999999999</v>
      </c>
      <c r="O19" s="81">
        <f>SUMIF(CALC_Funding!$F:$F,$D19,CALC_Funding!AP:AP)/INP_Assumptions!$C$19</f>
        <v>0</v>
      </c>
      <c r="P19" s="328">
        <f t="shared" si="2"/>
        <v>2.8649999999999998</v>
      </c>
      <c r="Q19" s="361"/>
      <c r="S19" s="84">
        <f>SUMIF(CALC_Funding!$F:$F,$D19,CALC_Funding!AV:AV)/INP_Assumptions!$C$19</f>
        <v>0.51500000000000001</v>
      </c>
      <c r="T19" s="81">
        <f>SUMIF(CALC_Funding!$F:$F,$D19,CALC_Funding!AW:AW)/INP_Assumptions!$C$19</f>
        <v>1.66790025</v>
      </c>
      <c r="U19" s="81">
        <f>SUMIF(CALC_Funding!$F:$F,$D19,CALC_Funding!AX:AX)/INP_Assumptions!$C$19</f>
        <v>0</v>
      </c>
      <c r="V19" s="81">
        <f>SUMIF(CALC_Funding!$F:$F,$D19,CALC_Funding!AY:AY)/INP_Assumptions!$C$19</f>
        <v>0</v>
      </c>
      <c r="W19" s="81">
        <f>SUMIF(CALC_Funding!$F:$F,$D19,CALC_Funding!AZ:AZ)/INP_Assumptions!$C$19</f>
        <v>0</v>
      </c>
      <c r="X19" s="81">
        <f>SUMIF(CALC_Funding!$F:$F,$D19,CALC_Funding!BA:BA)/INP_Assumptions!$C$19</f>
        <v>0.15681249999999999</v>
      </c>
      <c r="Y19" s="81">
        <f>SUMIF(CALC_Funding!$F:$F,$D19,CALC_Funding!BB:BB)/INP_Assumptions!$C$19</f>
        <v>0.39915424999999999</v>
      </c>
      <c r="Z19" s="81">
        <f>SUMIF(CALC_Funding!$F:$F,$D19,CALC_Funding!BC:BC)/INP_Assumptions!$C$19</f>
        <v>0</v>
      </c>
      <c r="AA19" s="328">
        <f t="shared" si="3"/>
        <v>2.7388669999999999</v>
      </c>
    </row>
    <row r="20" spans="1:27" x14ac:dyDescent="0.25">
      <c r="A20" s="37">
        <v>10</v>
      </c>
      <c r="B20" s="40" t="str">
        <f>VLOOKUP(A20,INP_Aggegation_Categories!$B$2:$C$12,2,FALSE)</f>
        <v>Other Costs</v>
      </c>
      <c r="C20" t="s">
        <v>38</v>
      </c>
      <c r="D20" s="284" t="s">
        <v>321</v>
      </c>
      <c r="E20" s="78">
        <f>SUMIF(CALC_Funding!$F:$F,$D20,CALC_Funding!S:S)/INP_Assumptions!$C$19</f>
        <v>0.84499999999999997</v>
      </c>
      <c r="F20" s="78">
        <f>SUMIF(CALC_Funding!$F:$F,$D20,CALC_Funding!T:T)/INP_Assumptions!$C$19</f>
        <v>0.83799999999999997</v>
      </c>
      <c r="G20" s="78"/>
      <c r="H20" s="84">
        <f>SUMIF(CALC_Funding!$F:$F,$D20,CALC_Funding!AI:AI)/INP_Assumptions!$C$19</f>
        <v>0.64500000000000002</v>
      </c>
      <c r="I20" s="81">
        <f>SUMIF(CALC_Funding!$F:$F,$D20,CALC_Funding!AJ:AJ)/INP_Assumptions!$C$19</f>
        <v>0.15</v>
      </c>
      <c r="J20" s="81">
        <f>SUMIF(CALC_Funding!$F:$F,$D20,CALC_Funding!AK:AK)/INP_Assumptions!$C$19</f>
        <v>0</v>
      </c>
      <c r="K20" s="81">
        <f>SUMIF(CALC_Funding!$F:$F,$D20,CALC_Funding!AL:AL)/INP_Assumptions!$C$19</f>
        <v>0</v>
      </c>
      <c r="L20" s="81">
        <f>SUMIF(CALC_Funding!$F:$F,$D20,CALC_Funding!AM:AM)/INP_Assumptions!$C$19</f>
        <v>0</v>
      </c>
      <c r="M20" s="81">
        <f>SUMIF(CALC_Funding!$F:$F,$D20,CALC_Funding!AN:AN)/INP_Assumptions!$C$19</f>
        <v>0</v>
      </c>
      <c r="N20" s="81">
        <f>SUMIF(CALC_Funding!$F:$F,$D20,CALC_Funding!AO:AO)/INP_Assumptions!$C$19</f>
        <v>0.05</v>
      </c>
      <c r="O20" s="81">
        <f>SUMIF(CALC_Funding!$F:$F,$D20,CALC_Funding!AP:AP)/INP_Assumptions!$C$19</f>
        <v>0</v>
      </c>
      <c r="P20" s="328">
        <f t="shared" si="2"/>
        <v>0.84500000000000008</v>
      </c>
      <c r="Q20" s="361"/>
      <c r="S20" s="84">
        <f>SUMIF(CALC_Funding!$F:$F,$D20,CALC_Funding!AV:AV)/INP_Assumptions!$C$19</f>
        <v>0.64500000000000002</v>
      </c>
      <c r="T20" s="81">
        <f>SUMIF(CALC_Funding!$F:$F,$D20,CALC_Funding!AW:AW)/INP_Assumptions!$C$19</f>
        <v>0.14474999999999999</v>
      </c>
      <c r="U20" s="81">
        <f>SUMIF(CALC_Funding!$F:$F,$D20,CALC_Funding!AX:AX)/INP_Assumptions!$C$19</f>
        <v>0</v>
      </c>
      <c r="V20" s="81">
        <f>SUMIF(CALC_Funding!$F:$F,$D20,CALC_Funding!AY:AY)/INP_Assumptions!$C$19</f>
        <v>0</v>
      </c>
      <c r="W20" s="81">
        <f>SUMIF(CALC_Funding!$F:$F,$D20,CALC_Funding!AZ:AZ)/INP_Assumptions!$C$19</f>
        <v>0</v>
      </c>
      <c r="X20" s="81">
        <f>SUMIF(CALC_Funding!$F:$F,$D20,CALC_Funding!BA:BA)/INP_Assumptions!$C$19</f>
        <v>0</v>
      </c>
      <c r="Y20" s="81">
        <f>SUMIF(CALC_Funding!$F:$F,$D20,CALC_Funding!BB:BB)/INP_Assumptions!$C$19</f>
        <v>4.8250000000000001E-2</v>
      </c>
      <c r="Z20" s="81">
        <f>SUMIF(CALC_Funding!$F:$F,$D20,CALC_Funding!BC:BC)/INP_Assumptions!$C$19</f>
        <v>0</v>
      </c>
      <c r="AA20" s="328">
        <f t="shared" si="3"/>
        <v>0.83799999999999997</v>
      </c>
    </row>
    <row r="21" spans="1:27" x14ac:dyDescent="0.25">
      <c r="A21" s="37">
        <v>10</v>
      </c>
      <c r="B21" s="40" t="str">
        <f>VLOOKUP(A21,INP_Aggegation_Categories!$B$2:$C$12,2,FALSE)</f>
        <v>Other Costs</v>
      </c>
      <c r="C21" t="s">
        <v>37</v>
      </c>
      <c r="D21" s="284" t="s">
        <v>322</v>
      </c>
      <c r="E21" s="78">
        <f>SUMIF(CALC_Funding!$F:$F,$D21,CALC_Funding!S:S)/INP_Assumptions!$C$19</f>
        <v>0.2</v>
      </c>
      <c r="F21" s="78">
        <f>SUMIF(CALC_Funding!$F:$F,$D21,CALC_Funding!T:T)/INP_Assumptions!$C$19</f>
        <v>0.193</v>
      </c>
      <c r="G21" s="78"/>
      <c r="H21" s="84">
        <f>SUMIF(CALC_Funding!$F:$F,$D21,CALC_Funding!AI:AI)/INP_Assumptions!$C$19</f>
        <v>0</v>
      </c>
      <c r="I21" s="81">
        <f>SUMIF(CALC_Funding!$F:$F,$D21,CALC_Funding!AJ:AJ)/INP_Assumptions!$C$19</f>
        <v>0</v>
      </c>
      <c r="J21" s="81">
        <f>SUMIF(CALC_Funding!$F:$F,$D21,CALC_Funding!AK:AK)/INP_Assumptions!$C$19</f>
        <v>0.1</v>
      </c>
      <c r="K21" s="81">
        <f>SUMIF(CALC_Funding!$F:$F,$D21,CALC_Funding!AL:AL)/INP_Assumptions!$C$19</f>
        <v>0</v>
      </c>
      <c r="L21" s="81">
        <f>SUMIF(CALC_Funding!$F:$F,$D21,CALC_Funding!AM:AM)/INP_Assumptions!$C$19</f>
        <v>0</v>
      </c>
      <c r="M21" s="81">
        <f>SUMIF(CALC_Funding!$F:$F,$D21,CALC_Funding!AN:AN)/INP_Assumptions!$C$19</f>
        <v>0.1</v>
      </c>
      <c r="N21" s="81">
        <f>SUMIF(CALC_Funding!$F:$F,$D21,CALC_Funding!AO:AO)/INP_Assumptions!$C$19</f>
        <v>0</v>
      </c>
      <c r="O21" s="81">
        <f>SUMIF(CALC_Funding!$F:$F,$D21,CALC_Funding!AP:AP)/INP_Assumptions!$C$19</f>
        <v>0</v>
      </c>
      <c r="P21" s="328">
        <f t="shared" si="2"/>
        <v>0.2</v>
      </c>
      <c r="Q21" s="361"/>
      <c r="S21" s="84">
        <f>SUMIF(CALC_Funding!$F:$F,$D21,CALC_Funding!AV:AV)/INP_Assumptions!$C$19</f>
        <v>0</v>
      </c>
      <c r="T21" s="81">
        <f>SUMIF(CALC_Funding!$F:$F,$D21,CALC_Funding!AW:AW)/INP_Assumptions!$C$19</f>
        <v>0</v>
      </c>
      <c r="U21" s="81">
        <f>SUMIF(CALC_Funding!$F:$F,$D21,CALC_Funding!AX:AX)/INP_Assumptions!$C$19</f>
        <v>9.6500000000000002E-2</v>
      </c>
      <c r="V21" s="81">
        <f>SUMIF(CALC_Funding!$F:$F,$D21,CALC_Funding!AY:AY)/INP_Assumptions!$C$19</f>
        <v>0</v>
      </c>
      <c r="W21" s="81">
        <f>SUMIF(CALC_Funding!$F:$F,$D21,CALC_Funding!AZ:AZ)/INP_Assumptions!$C$19</f>
        <v>0</v>
      </c>
      <c r="X21" s="81">
        <f>SUMIF(CALC_Funding!$F:$F,$D21,CALC_Funding!BA:BA)/INP_Assumptions!$C$19</f>
        <v>9.6500000000000002E-2</v>
      </c>
      <c r="Y21" s="81">
        <f>SUMIF(CALC_Funding!$F:$F,$D21,CALC_Funding!BB:BB)/INP_Assumptions!$C$19</f>
        <v>0</v>
      </c>
      <c r="Z21" s="81">
        <f>SUMIF(CALC_Funding!$F:$F,$D21,CALC_Funding!BC:BC)/INP_Assumptions!$C$19</f>
        <v>0</v>
      </c>
      <c r="AA21" s="328">
        <f t="shared" si="3"/>
        <v>0.193</v>
      </c>
    </row>
    <row r="22" spans="1:27" x14ac:dyDescent="0.25">
      <c r="A22" s="37">
        <v>8</v>
      </c>
      <c r="B22" s="40" t="str">
        <f>VLOOKUP(A22,INP_Aggegation_Categories!$B$2:$C$12,2,FALSE)</f>
        <v>Comms &amp; H&amp;M</v>
      </c>
      <c r="C22" t="s">
        <v>37</v>
      </c>
      <c r="D22" s="284" t="s">
        <v>397</v>
      </c>
      <c r="E22" s="78">
        <f>SUMIF(CALC_Funding!$F:$F,$D22,CALC_Funding!S:S)/INP_Assumptions!$C$19</f>
        <v>1.5714999999999999</v>
      </c>
      <c r="F22" s="78">
        <f>SUMIF(CALC_Funding!$F:$F,$D22,CALC_Funding!T:T)/INP_Assumptions!$C$19</f>
        <v>1.5125162269874999</v>
      </c>
      <c r="G22" s="78"/>
      <c r="H22" s="84">
        <f>SUMIF(CALC_Funding!$F:$F,$D22,CALC_Funding!AI:AI)/INP_Assumptions!$C$19</f>
        <v>0.04</v>
      </c>
      <c r="I22" s="81">
        <f>SUMIF(CALC_Funding!$F:$F,$D22,CALC_Funding!AJ:AJ)/INP_Assumptions!$C$19</f>
        <v>0</v>
      </c>
      <c r="J22" s="81">
        <f>SUMIF(CALC_Funding!$F:$F,$D22,CALC_Funding!AK:AK)/INP_Assumptions!$C$19</f>
        <v>1.5315000000000001</v>
      </c>
      <c r="K22" s="81">
        <f>SUMIF(CALC_Funding!$F:$F,$D22,CALC_Funding!AL:AL)/INP_Assumptions!$C$19</f>
        <v>0</v>
      </c>
      <c r="L22" s="81">
        <f>SUMIF(CALC_Funding!$F:$F,$D22,CALC_Funding!AM:AM)/INP_Assumptions!$C$19</f>
        <v>0</v>
      </c>
      <c r="M22" s="81">
        <f>SUMIF(CALC_Funding!$F:$F,$D22,CALC_Funding!AN:AN)/INP_Assumptions!$C$19</f>
        <v>0</v>
      </c>
      <c r="N22" s="81">
        <f>SUMIF(CALC_Funding!$F:$F,$D22,CALC_Funding!AO:AO)/INP_Assumptions!$C$19</f>
        <v>0</v>
      </c>
      <c r="O22" s="81">
        <f>SUMIF(CALC_Funding!$F:$F,$D22,CALC_Funding!AP:AP)/INP_Assumptions!$C$19</f>
        <v>0</v>
      </c>
      <c r="P22" s="328">
        <f t="shared" si="2"/>
        <v>1.5715000000000001</v>
      </c>
      <c r="Q22" s="361"/>
      <c r="S22" s="84">
        <f>SUMIF(CALC_Funding!$F:$F,$D22,CALC_Funding!AV:AV)/INP_Assumptions!$C$19</f>
        <v>0.04</v>
      </c>
      <c r="T22" s="81">
        <f>SUMIF(CALC_Funding!$F:$F,$D22,CALC_Funding!AW:AW)/INP_Assumptions!$C$19</f>
        <v>0</v>
      </c>
      <c r="U22" s="81">
        <f>SUMIF(CALC_Funding!$F:$F,$D22,CALC_Funding!AX:AX)/INP_Assumptions!$C$19</f>
        <v>1.4725162269875001</v>
      </c>
      <c r="V22" s="81">
        <f>SUMIF(CALC_Funding!$F:$F,$D22,CALC_Funding!AY:AY)/INP_Assumptions!$C$19</f>
        <v>0</v>
      </c>
      <c r="W22" s="81">
        <f>SUMIF(CALC_Funding!$F:$F,$D22,CALC_Funding!AZ:AZ)/INP_Assumptions!$C$19</f>
        <v>0</v>
      </c>
      <c r="X22" s="81">
        <f>SUMIF(CALC_Funding!$F:$F,$D22,CALC_Funding!BA:BA)/INP_Assumptions!$C$19</f>
        <v>0</v>
      </c>
      <c r="Y22" s="81">
        <f>SUMIF(CALC_Funding!$F:$F,$D22,CALC_Funding!BB:BB)/INP_Assumptions!$C$19</f>
        <v>0</v>
      </c>
      <c r="Z22" s="81">
        <f>SUMIF(CALC_Funding!$F:$F,$D22,CALC_Funding!BC:BC)/INP_Assumptions!$C$19</f>
        <v>0</v>
      </c>
      <c r="AA22" s="328">
        <f t="shared" si="3"/>
        <v>1.5125162269875001</v>
      </c>
    </row>
    <row r="23" spans="1:27" x14ac:dyDescent="0.25">
      <c r="A23" s="37">
        <v>8</v>
      </c>
      <c r="B23" s="40" t="str">
        <f>VLOOKUP(A23,INP_Aggegation_Categories!$B$2:$C$12,2,FALSE)</f>
        <v>Comms &amp; H&amp;M</v>
      </c>
      <c r="C23" t="s">
        <v>38</v>
      </c>
      <c r="D23" s="284" t="s">
        <v>398</v>
      </c>
      <c r="E23" s="78">
        <f>SUMIF(CALC_Funding!$F:$F,$D23,CALC_Funding!S:S)/INP_Assumptions!$C$19</f>
        <v>0.19450000000000001</v>
      </c>
      <c r="F23" s="78">
        <f>SUMIF(CALC_Funding!$F:$F,$D23,CALC_Funding!T:T)/INP_Assumptions!$C$19</f>
        <v>0.18827350000000001</v>
      </c>
      <c r="G23" s="78"/>
      <c r="H23" s="84">
        <f>SUMIF(CALC_Funding!$F:$F,$D23,CALC_Funding!AI:AI)/INP_Assumptions!$C$19</f>
        <v>0.04</v>
      </c>
      <c r="I23" s="81">
        <f>SUMIF(CALC_Funding!$F:$F,$D23,CALC_Funding!AJ:AJ)/INP_Assumptions!$C$19</f>
        <v>0</v>
      </c>
      <c r="J23" s="81">
        <f>SUMIF(CALC_Funding!$F:$F,$D23,CALC_Funding!AK:AK)/INP_Assumptions!$C$19</f>
        <v>0.1545</v>
      </c>
      <c r="K23" s="81">
        <f>SUMIF(CALC_Funding!$F:$F,$D23,CALC_Funding!AL:AL)/INP_Assumptions!$C$19</f>
        <v>0</v>
      </c>
      <c r="L23" s="81">
        <f>SUMIF(CALC_Funding!$F:$F,$D23,CALC_Funding!AM:AM)/INP_Assumptions!$C$19</f>
        <v>0</v>
      </c>
      <c r="M23" s="81">
        <f>SUMIF(CALC_Funding!$F:$F,$D23,CALC_Funding!AN:AN)/INP_Assumptions!$C$19</f>
        <v>0</v>
      </c>
      <c r="N23" s="81">
        <f>SUMIF(CALC_Funding!$F:$F,$D23,CALC_Funding!AO:AO)/INP_Assumptions!$C$19</f>
        <v>0</v>
      </c>
      <c r="O23" s="81">
        <f>SUMIF(CALC_Funding!$F:$F,$D23,CALC_Funding!AP:AP)/INP_Assumptions!$C$19</f>
        <v>0</v>
      </c>
      <c r="P23" s="328">
        <f t="shared" si="2"/>
        <v>0.19450000000000001</v>
      </c>
      <c r="Q23" s="361"/>
      <c r="S23" s="84">
        <f>SUMIF(CALC_Funding!$F:$F,$D23,CALC_Funding!AV:AV)/INP_Assumptions!$C$19</f>
        <v>0.04</v>
      </c>
      <c r="T23" s="81">
        <f>SUMIF(CALC_Funding!$F:$F,$D23,CALC_Funding!AW:AW)/INP_Assumptions!$C$19</f>
        <v>0</v>
      </c>
      <c r="U23" s="81">
        <f>SUMIF(CALC_Funding!$F:$F,$D23,CALC_Funding!AX:AX)/INP_Assumptions!$C$19</f>
        <v>0.1482735</v>
      </c>
      <c r="V23" s="81">
        <f>SUMIF(CALC_Funding!$F:$F,$D23,CALC_Funding!AY:AY)/INP_Assumptions!$C$19</f>
        <v>0</v>
      </c>
      <c r="W23" s="81">
        <f>SUMIF(CALC_Funding!$F:$F,$D23,CALC_Funding!AZ:AZ)/INP_Assumptions!$C$19</f>
        <v>0</v>
      </c>
      <c r="X23" s="81">
        <f>SUMIF(CALC_Funding!$F:$F,$D23,CALC_Funding!BA:BA)/INP_Assumptions!$C$19</f>
        <v>0</v>
      </c>
      <c r="Y23" s="81">
        <f>SUMIF(CALC_Funding!$F:$F,$D23,CALC_Funding!BB:BB)/INP_Assumptions!$C$19</f>
        <v>0</v>
      </c>
      <c r="Z23" s="81">
        <f>SUMIF(CALC_Funding!$F:$F,$D23,CALC_Funding!BC:BC)/INP_Assumptions!$C$19</f>
        <v>0</v>
      </c>
      <c r="AA23" s="328">
        <f t="shared" si="3"/>
        <v>0.18827350000000001</v>
      </c>
    </row>
    <row r="24" spans="1:27" x14ac:dyDescent="0.25">
      <c r="A24" s="37">
        <v>8</v>
      </c>
      <c r="B24" s="40" t="str">
        <f>VLOOKUP(A24,INP_Aggegation_Categories!$B$2:$C$12,2,FALSE)</f>
        <v>Comms &amp; H&amp;M</v>
      </c>
      <c r="C24" t="s">
        <v>41</v>
      </c>
      <c r="D24" s="284" t="s">
        <v>399</v>
      </c>
      <c r="E24" s="78">
        <f>SUMIF(CALC_Funding!$F:$F,$D24,CALC_Funding!S:S)/INP_Assumptions!$C$19</f>
        <v>0</v>
      </c>
      <c r="F24" s="78">
        <f>SUMIF(CALC_Funding!$F:$F,$D24,CALC_Funding!T:T)/INP_Assumptions!$C$19</f>
        <v>0</v>
      </c>
      <c r="G24" s="78"/>
      <c r="H24" s="84">
        <f>SUMIF(CALC_Funding!$F:$F,$D24,CALC_Funding!AI:AI)/INP_Assumptions!$C$19</f>
        <v>0</v>
      </c>
      <c r="I24" s="81">
        <f>SUMIF(CALC_Funding!$F:$F,$D24,CALC_Funding!AJ:AJ)/INP_Assumptions!$C$19</f>
        <v>0</v>
      </c>
      <c r="J24" s="81">
        <f>SUMIF(CALC_Funding!$F:$F,$D24,CALC_Funding!AK:AK)/INP_Assumptions!$C$19</f>
        <v>0</v>
      </c>
      <c r="K24" s="81">
        <f>SUMIF(CALC_Funding!$F:$F,$D24,CALC_Funding!AL:AL)/INP_Assumptions!$C$19</f>
        <v>0</v>
      </c>
      <c r="L24" s="81">
        <f>SUMIF(CALC_Funding!$F:$F,$D24,CALC_Funding!AM:AM)/INP_Assumptions!$C$19</f>
        <v>0</v>
      </c>
      <c r="M24" s="81">
        <f>SUMIF(CALC_Funding!$F:$F,$D24,CALC_Funding!AN:AN)/INP_Assumptions!$C$19</f>
        <v>0</v>
      </c>
      <c r="N24" s="81">
        <f>SUMIF(CALC_Funding!$F:$F,$D24,CALC_Funding!AO:AO)/INP_Assumptions!$C$19</f>
        <v>0</v>
      </c>
      <c r="O24" s="81">
        <f>SUMIF(CALC_Funding!$F:$F,$D24,CALC_Funding!AP:AP)/INP_Assumptions!$C$19</f>
        <v>0</v>
      </c>
      <c r="P24" s="328">
        <f t="shared" si="2"/>
        <v>0</v>
      </c>
      <c r="Q24" s="361"/>
      <c r="S24" s="84">
        <f>SUMIF(CALC_Funding!$F:$F,$D24,CALC_Funding!AV:AV)/INP_Assumptions!$C$19</f>
        <v>0</v>
      </c>
      <c r="T24" s="81">
        <f>SUMIF(CALC_Funding!$F:$F,$D24,CALC_Funding!AW:AW)/INP_Assumptions!$C$19</f>
        <v>0</v>
      </c>
      <c r="U24" s="81">
        <f>SUMIF(CALC_Funding!$F:$F,$D24,CALC_Funding!AX:AX)/INP_Assumptions!$C$19</f>
        <v>0</v>
      </c>
      <c r="V24" s="81">
        <f>SUMIF(CALC_Funding!$F:$F,$D24,CALC_Funding!AY:AY)/INP_Assumptions!$C$19</f>
        <v>0</v>
      </c>
      <c r="W24" s="81">
        <f>SUMIF(CALC_Funding!$F:$F,$D24,CALC_Funding!AZ:AZ)/INP_Assumptions!$C$19</f>
        <v>0</v>
      </c>
      <c r="X24" s="81">
        <f>SUMIF(CALC_Funding!$F:$F,$D24,CALC_Funding!BA:BA)/INP_Assumptions!$C$19</f>
        <v>0</v>
      </c>
      <c r="Y24" s="81">
        <f>SUMIF(CALC_Funding!$F:$F,$D24,CALC_Funding!BB:BB)/INP_Assumptions!$C$19</f>
        <v>0</v>
      </c>
      <c r="Z24" s="81">
        <f>SUMIF(CALC_Funding!$F:$F,$D24,CALC_Funding!BC:BC)/INP_Assumptions!$C$19</f>
        <v>0</v>
      </c>
      <c r="AA24" s="328">
        <f t="shared" si="3"/>
        <v>0</v>
      </c>
    </row>
    <row r="25" spans="1:27" x14ac:dyDescent="0.25">
      <c r="A25" s="37">
        <v>9</v>
      </c>
      <c r="B25" s="40" t="str">
        <f>VLOOKUP(A25,INP_Aggegation_Categories!$B$2:$C$12,2,FALSE)</f>
        <v>Monitoring &amp; Evaluation</v>
      </c>
      <c r="C25" t="s">
        <v>37</v>
      </c>
      <c r="D25" s="284" t="s">
        <v>323</v>
      </c>
      <c r="E25" s="78">
        <f>SUMIF(CALC_Funding!$F:$F,$D25,CALC_Funding!S:S)/INP_Assumptions!$C$19</f>
        <v>0.83299999999999996</v>
      </c>
      <c r="F25" s="78">
        <f>SUMIF(CALC_Funding!$F:$F,$D25,CALC_Funding!T:T)/INP_Assumptions!$C$19</f>
        <v>0.78718113862499994</v>
      </c>
      <c r="G25" s="78"/>
      <c r="H25" s="84">
        <f>SUMIF(CALC_Funding!$F:$F,$D25,CALC_Funding!AI:AI)/INP_Assumptions!$C$19</f>
        <v>4.4999999999999998E-2</v>
      </c>
      <c r="I25" s="81">
        <f>SUMIF(CALC_Funding!$F:$F,$D25,CALC_Funding!AJ:AJ)/INP_Assumptions!$C$19</f>
        <v>0</v>
      </c>
      <c r="J25" s="81">
        <f>SUMIF(CALC_Funding!$F:$F,$D25,CALC_Funding!AK:AK)/INP_Assumptions!$C$19</f>
        <v>0.78800000000000003</v>
      </c>
      <c r="K25" s="81">
        <f>SUMIF(CALC_Funding!$F:$F,$D25,CALC_Funding!AL:AL)/INP_Assumptions!$C$19</f>
        <v>0</v>
      </c>
      <c r="L25" s="81">
        <f>SUMIF(CALC_Funding!$F:$F,$D25,CALC_Funding!AM:AM)/INP_Assumptions!$C$19</f>
        <v>0</v>
      </c>
      <c r="M25" s="81">
        <f>SUMIF(CALC_Funding!$F:$F,$D25,CALC_Funding!AN:AN)/INP_Assumptions!$C$19</f>
        <v>0</v>
      </c>
      <c r="N25" s="81">
        <f>SUMIF(CALC_Funding!$F:$F,$D25,CALC_Funding!AO:AO)/INP_Assumptions!$C$19</f>
        <v>0</v>
      </c>
      <c r="O25" s="81">
        <f>SUMIF(CALC_Funding!$F:$F,$D25,CALC_Funding!AP:AP)/INP_Assumptions!$C$19</f>
        <v>0</v>
      </c>
      <c r="P25" s="328">
        <f t="shared" si="2"/>
        <v>0.83300000000000007</v>
      </c>
      <c r="Q25" s="361"/>
      <c r="S25" s="84">
        <f>SUMIF(CALC_Funding!$F:$F,$D25,CALC_Funding!AV:AV)/INP_Assumptions!$C$19</f>
        <v>4.4999999999999998E-2</v>
      </c>
      <c r="T25" s="81">
        <f>SUMIF(CALC_Funding!$F:$F,$D25,CALC_Funding!AW:AW)/INP_Assumptions!$C$19</f>
        <v>0</v>
      </c>
      <c r="U25" s="81">
        <f>SUMIF(CALC_Funding!$F:$F,$D25,CALC_Funding!AX:AX)/INP_Assumptions!$C$19</f>
        <v>0.74218113862500001</v>
      </c>
      <c r="V25" s="81">
        <f>SUMIF(CALC_Funding!$F:$F,$D25,CALC_Funding!AY:AY)/INP_Assumptions!$C$19</f>
        <v>0</v>
      </c>
      <c r="W25" s="81">
        <f>SUMIF(CALC_Funding!$F:$F,$D25,CALC_Funding!AZ:AZ)/INP_Assumptions!$C$19</f>
        <v>0</v>
      </c>
      <c r="X25" s="81">
        <f>SUMIF(CALC_Funding!$F:$F,$D25,CALC_Funding!BA:BA)/INP_Assumptions!$C$19</f>
        <v>0</v>
      </c>
      <c r="Y25" s="81">
        <f>SUMIF(CALC_Funding!$F:$F,$D25,CALC_Funding!BB:BB)/INP_Assumptions!$C$19</f>
        <v>0</v>
      </c>
      <c r="Z25" s="81">
        <f>SUMIF(CALC_Funding!$F:$F,$D25,CALC_Funding!BC:BC)/INP_Assumptions!$C$19</f>
        <v>0</v>
      </c>
      <c r="AA25" s="328">
        <f t="shared" si="3"/>
        <v>0.78718113862500005</v>
      </c>
    </row>
    <row r="26" spans="1:27" x14ac:dyDescent="0.25">
      <c r="A26" s="37">
        <v>9</v>
      </c>
      <c r="B26" s="40" t="str">
        <f>VLOOKUP(A26,INP_Aggegation_Categories!$B$2:$C$12,2,FALSE)</f>
        <v>Monitoring &amp; Evaluation</v>
      </c>
      <c r="C26" t="s">
        <v>38</v>
      </c>
      <c r="D26" s="284" t="s">
        <v>324</v>
      </c>
      <c r="E26" s="78">
        <f>SUMIF(CALC_Funding!$F:$F,$D26,CALC_Funding!S:S)/INP_Assumptions!$C$19</f>
        <v>0.55200000000000005</v>
      </c>
      <c r="F26" s="78">
        <f>SUMIF(CALC_Funding!$F:$F,$D26,CALC_Funding!T:T)/INP_Assumptions!$C$19</f>
        <v>0.52369028325</v>
      </c>
      <c r="G26" s="78"/>
      <c r="H26" s="84">
        <f>SUMIF(CALC_Funding!$F:$F,$D26,CALC_Funding!AI:AI)/INP_Assumptions!$C$19</f>
        <v>0.02</v>
      </c>
      <c r="I26" s="81">
        <f>SUMIF(CALC_Funding!$F:$F,$D26,CALC_Funding!AJ:AJ)/INP_Assumptions!$C$19</f>
        <v>0</v>
      </c>
      <c r="J26" s="81">
        <f>SUMIF(CALC_Funding!$F:$F,$D26,CALC_Funding!AK:AK)/INP_Assumptions!$C$19</f>
        <v>0.53200000000000003</v>
      </c>
      <c r="K26" s="81">
        <f>SUMIF(CALC_Funding!$F:$F,$D26,CALC_Funding!AL:AL)/INP_Assumptions!$C$19</f>
        <v>0</v>
      </c>
      <c r="L26" s="81">
        <f>SUMIF(CALC_Funding!$F:$F,$D26,CALC_Funding!AM:AM)/INP_Assumptions!$C$19</f>
        <v>0</v>
      </c>
      <c r="M26" s="81">
        <f>SUMIF(CALC_Funding!$F:$F,$D26,CALC_Funding!AN:AN)/INP_Assumptions!$C$19</f>
        <v>0</v>
      </c>
      <c r="N26" s="81">
        <f>SUMIF(CALC_Funding!$F:$F,$D26,CALC_Funding!AO:AO)/INP_Assumptions!$C$19</f>
        <v>0</v>
      </c>
      <c r="O26" s="81">
        <f>SUMIF(CALC_Funding!$F:$F,$D26,CALC_Funding!AP:AP)/INP_Assumptions!$C$19</f>
        <v>0</v>
      </c>
      <c r="P26" s="328">
        <f t="shared" si="2"/>
        <v>0.55200000000000005</v>
      </c>
      <c r="Q26" s="361"/>
      <c r="S26" s="84">
        <f>SUMIF(CALC_Funding!$F:$F,$D26,CALC_Funding!AV:AV)/INP_Assumptions!$C$19</f>
        <v>0.02</v>
      </c>
      <c r="T26" s="81">
        <f>SUMIF(CALC_Funding!$F:$F,$D26,CALC_Funding!AW:AW)/INP_Assumptions!$C$19</f>
        <v>0</v>
      </c>
      <c r="U26" s="81">
        <f>SUMIF(CALC_Funding!$F:$F,$D26,CALC_Funding!AX:AX)/INP_Assumptions!$C$19</f>
        <v>0.50369028324999998</v>
      </c>
      <c r="V26" s="81">
        <f>SUMIF(CALC_Funding!$F:$F,$D26,CALC_Funding!AY:AY)/INP_Assumptions!$C$19</f>
        <v>0</v>
      </c>
      <c r="W26" s="81">
        <f>SUMIF(CALC_Funding!$F:$F,$D26,CALC_Funding!AZ:AZ)/INP_Assumptions!$C$19</f>
        <v>0</v>
      </c>
      <c r="X26" s="81">
        <f>SUMIF(CALC_Funding!$F:$F,$D26,CALC_Funding!BA:BA)/INP_Assumptions!$C$19</f>
        <v>0</v>
      </c>
      <c r="Y26" s="81">
        <f>SUMIF(CALC_Funding!$F:$F,$D26,CALC_Funding!BB:BB)/INP_Assumptions!$C$19</f>
        <v>0</v>
      </c>
      <c r="Z26" s="81">
        <f>SUMIF(CALC_Funding!$F:$F,$D26,CALC_Funding!BC:BC)/INP_Assumptions!$C$19</f>
        <v>0</v>
      </c>
      <c r="AA26" s="328">
        <f t="shared" si="3"/>
        <v>0.52369028325</v>
      </c>
    </row>
    <row r="27" spans="1:27" x14ac:dyDescent="0.25">
      <c r="A27" s="37">
        <v>9</v>
      </c>
      <c r="B27" s="40" t="str">
        <f>VLOOKUP(A27,INP_Aggegation_Categories!$B$2:$C$12,2,FALSE)</f>
        <v>Monitoring &amp; Evaluation</v>
      </c>
      <c r="C27" t="s">
        <v>41</v>
      </c>
      <c r="D27" s="284" t="s">
        <v>325</v>
      </c>
      <c r="E27" s="78">
        <f>SUMIF(CALC_Funding!$F:$F,$D27,CALC_Funding!S:S)/INP_Assumptions!$C$19</f>
        <v>0</v>
      </c>
      <c r="F27" s="78">
        <f>SUMIF(CALC_Funding!$F:$F,$D27,CALC_Funding!T:T)/INP_Assumptions!$C$19</f>
        <v>0</v>
      </c>
      <c r="G27" s="78"/>
      <c r="H27" s="84">
        <f>SUMIF(CALC_Funding!$F:$F,$D27,CALC_Funding!AI:AI)/INP_Assumptions!$C$19</f>
        <v>0</v>
      </c>
      <c r="I27" s="81">
        <f>SUMIF(CALC_Funding!$F:$F,$D27,CALC_Funding!AJ:AJ)/INP_Assumptions!$C$19</f>
        <v>0</v>
      </c>
      <c r="J27" s="81">
        <f>SUMIF(CALC_Funding!$F:$F,$D27,CALC_Funding!AK:AK)/INP_Assumptions!$C$19</f>
        <v>0</v>
      </c>
      <c r="K27" s="81">
        <f>SUMIF(CALC_Funding!$F:$F,$D27,CALC_Funding!AL:AL)/INP_Assumptions!$C$19</f>
        <v>0</v>
      </c>
      <c r="L27" s="81">
        <f>SUMIF(CALC_Funding!$F:$F,$D27,CALC_Funding!AM:AM)/INP_Assumptions!$C$19</f>
        <v>0</v>
      </c>
      <c r="M27" s="81">
        <f>SUMIF(CALC_Funding!$F:$F,$D27,CALC_Funding!AN:AN)/INP_Assumptions!$C$19</f>
        <v>0</v>
      </c>
      <c r="N27" s="81">
        <f>SUMIF(CALC_Funding!$F:$F,$D27,CALC_Funding!AO:AO)/INP_Assumptions!$C$19</f>
        <v>0</v>
      </c>
      <c r="O27" s="81">
        <f>SUMIF(CALC_Funding!$F:$F,$D27,CALC_Funding!AP:AP)/INP_Assumptions!$C$19</f>
        <v>0</v>
      </c>
      <c r="P27" s="328">
        <f t="shared" si="2"/>
        <v>0</v>
      </c>
      <c r="Q27" s="361"/>
      <c r="S27" s="84">
        <f>SUMIF(CALC_Funding!$F:$F,$D27,CALC_Funding!AV:AV)/INP_Assumptions!$C$19</f>
        <v>0</v>
      </c>
      <c r="T27" s="81">
        <f>SUMIF(CALC_Funding!$F:$F,$D27,CALC_Funding!AW:AW)/INP_Assumptions!$C$19</f>
        <v>0</v>
      </c>
      <c r="U27" s="81">
        <f>SUMIF(CALC_Funding!$F:$F,$D27,CALC_Funding!AX:AX)/INP_Assumptions!$C$19</f>
        <v>0</v>
      </c>
      <c r="V27" s="81">
        <f>SUMIF(CALC_Funding!$F:$F,$D27,CALC_Funding!AY:AY)/INP_Assumptions!$C$19</f>
        <v>0</v>
      </c>
      <c r="W27" s="81">
        <f>SUMIF(CALC_Funding!$F:$F,$D27,CALC_Funding!AZ:AZ)/INP_Assumptions!$C$19</f>
        <v>0</v>
      </c>
      <c r="X27" s="81">
        <f>SUMIF(CALC_Funding!$F:$F,$D27,CALC_Funding!BA:BA)/INP_Assumptions!$C$19</f>
        <v>0</v>
      </c>
      <c r="Y27" s="81">
        <f>SUMIF(CALC_Funding!$F:$F,$D27,CALC_Funding!BB:BB)/INP_Assumptions!$C$19</f>
        <v>0</v>
      </c>
      <c r="Z27" s="81">
        <f>SUMIF(CALC_Funding!$F:$F,$D27,CALC_Funding!BC:BC)/INP_Assumptions!$C$19</f>
        <v>0</v>
      </c>
      <c r="AA27" s="328">
        <f t="shared" si="3"/>
        <v>0</v>
      </c>
    </row>
    <row r="28" spans="1:27" x14ac:dyDescent="0.25">
      <c r="A28" s="37">
        <v>7</v>
      </c>
      <c r="B28" s="40" t="str">
        <f>VLOOKUP(A28,INP_Aggegation_Categories!$B$2:$C$12,2,FALSE)</f>
        <v>Finance &amp; Management</v>
      </c>
      <c r="C28" t="s">
        <v>37</v>
      </c>
      <c r="D28" s="284" t="s">
        <v>341</v>
      </c>
      <c r="E28" s="78">
        <f>SUMIF(CALC_Funding!$F:$F,$D28,CALC_Funding!S:S)/INP_Assumptions!$C$19</f>
        <v>23.193388000000002</v>
      </c>
      <c r="F28" s="78">
        <f>SUMIF(CALC_Funding!$F:$F,$D28,CALC_Funding!T:T)/INP_Assumptions!$C$19</f>
        <v>21.223162611628549</v>
      </c>
      <c r="G28" s="78"/>
      <c r="H28" s="84">
        <f>SUMIF(CALC_Funding!$F:$F,$D28,CALC_Funding!AI:AI)/INP_Assumptions!$C$19</f>
        <v>3.0999999999999999E-3</v>
      </c>
      <c r="I28" s="81">
        <f>SUMIF(CALC_Funding!$F:$F,$D28,CALC_Funding!AJ:AJ)/INP_Assumptions!$C$19</f>
        <v>0</v>
      </c>
      <c r="J28" s="81">
        <f>SUMIF(CALC_Funding!$F:$F,$D28,CALC_Funding!AK:AK)/INP_Assumptions!$C$19</f>
        <v>13.917438000000004</v>
      </c>
      <c r="K28" s="81">
        <f>SUMIF(CALC_Funding!$F:$F,$D28,CALC_Funding!AL:AL)/INP_Assumptions!$C$19</f>
        <v>9.27285</v>
      </c>
      <c r="L28" s="81">
        <f>SUMIF(CALC_Funding!$F:$F,$D28,CALC_Funding!AM:AM)/INP_Assumptions!$C$19</f>
        <v>0</v>
      </c>
      <c r="M28" s="81">
        <f>SUMIF(CALC_Funding!$F:$F,$D28,CALC_Funding!AN:AN)/INP_Assumptions!$C$19</f>
        <v>0</v>
      </c>
      <c r="N28" s="81">
        <f>SUMIF(CALC_Funding!$F:$F,$D28,CALC_Funding!AO:AO)/INP_Assumptions!$C$19</f>
        <v>0</v>
      </c>
      <c r="O28" s="81">
        <f>SUMIF(CALC_Funding!$F:$F,$D28,CALC_Funding!AP:AP)/INP_Assumptions!$C$19</f>
        <v>0</v>
      </c>
      <c r="P28" s="573">
        <f t="shared" si="2"/>
        <v>23.193388000000006</v>
      </c>
      <c r="Q28" s="361"/>
      <c r="S28" s="84">
        <f>SUMIF(CALC_Funding!$F:$F,$D28,CALC_Funding!AV:AV)/INP_Assumptions!$C$19</f>
        <v>3.0999999999999999E-3</v>
      </c>
      <c r="T28" s="81">
        <f>SUMIF(CALC_Funding!$F:$F,$D28,CALC_Funding!AW:AW)/INP_Assumptions!$C$19</f>
        <v>0</v>
      </c>
      <c r="U28" s="81">
        <f>SUMIF(CALC_Funding!$F:$F,$D28,CALC_Funding!AX:AX)/INP_Assumptions!$C$19</f>
        <v>12.763270592688889</v>
      </c>
      <c r="V28" s="81">
        <f>SUMIF(CALC_Funding!$F:$F,$D28,CALC_Funding!AY:AY)/INP_Assumptions!$C$19</f>
        <v>8.4567920189396588</v>
      </c>
      <c r="W28" s="81">
        <f>SUMIF(CALC_Funding!$F:$F,$D28,CALC_Funding!AZ:AZ)/INP_Assumptions!$C$19</f>
        <v>0</v>
      </c>
      <c r="X28" s="81">
        <f>SUMIF(CALC_Funding!$F:$F,$D28,CALC_Funding!BA:BA)/INP_Assumptions!$C$19</f>
        <v>0</v>
      </c>
      <c r="Y28" s="81">
        <f>SUMIF(CALC_Funding!$F:$F,$D28,CALC_Funding!BB:BB)/INP_Assumptions!$C$19</f>
        <v>0</v>
      </c>
      <c r="Z28" s="81">
        <f>SUMIF(CALC_Funding!$F:$F,$D28,CALC_Funding!BC:BC)/INP_Assumptions!$C$19</f>
        <v>0</v>
      </c>
      <c r="AA28" s="328">
        <f t="shared" si="3"/>
        <v>21.223162611628545</v>
      </c>
    </row>
    <row r="29" spans="1:27" x14ac:dyDescent="0.25">
      <c r="A29" s="37">
        <v>7</v>
      </c>
      <c r="B29" s="40" t="str">
        <f>VLOOKUP(A29,INP_Aggegation_Categories!$B$2:$C$12,2,FALSE)</f>
        <v>Finance &amp; Management</v>
      </c>
      <c r="C29" t="s">
        <v>38</v>
      </c>
      <c r="D29" s="284" t="s">
        <v>342</v>
      </c>
      <c r="E29" s="78">
        <f>SUMIF(CALC_Funding!$F:$F,$D29,CALC_Funding!S:S)/INP_Assumptions!$C$19</f>
        <v>0.22582499999999997</v>
      </c>
      <c r="F29" s="78">
        <f>SUMIF(CALC_Funding!$F:$F,$D29,CALC_Funding!T:T)/INP_Assumptions!$C$19</f>
        <v>0.21914543523749996</v>
      </c>
      <c r="G29" s="78"/>
      <c r="H29" s="84">
        <f>SUMIF(CALC_Funding!$F:$F,$D29,CALC_Funding!AI:AI)/INP_Assumptions!$C$19</f>
        <v>0</v>
      </c>
      <c r="I29" s="81">
        <f>SUMIF(CALC_Funding!$F:$F,$D29,CALC_Funding!AJ:AJ)/INP_Assumptions!$C$19</f>
        <v>0</v>
      </c>
      <c r="J29" s="81">
        <f>SUMIF(CALC_Funding!$F:$F,$D29,CALC_Funding!AK:AK)/INP_Assumptions!$C$19</f>
        <v>0.21999999999999997</v>
      </c>
      <c r="K29" s="81">
        <f>SUMIF(CALC_Funding!$F:$F,$D29,CALC_Funding!AL:AL)/INP_Assumptions!$C$19</f>
        <v>5.8249999999999994E-3</v>
      </c>
      <c r="L29" s="81">
        <f>SUMIF(CALC_Funding!$F:$F,$D29,CALC_Funding!AM:AM)/INP_Assumptions!$C$19</f>
        <v>0</v>
      </c>
      <c r="M29" s="81">
        <f>SUMIF(CALC_Funding!$F:$F,$D29,CALC_Funding!AN:AN)/INP_Assumptions!$C$19</f>
        <v>0</v>
      </c>
      <c r="N29" s="81">
        <f>SUMIF(CALC_Funding!$F:$F,$D29,CALC_Funding!AO:AO)/INP_Assumptions!$C$19</f>
        <v>0</v>
      </c>
      <c r="O29" s="81">
        <f>SUMIF(CALC_Funding!$F:$F,$D29,CALC_Funding!AP:AP)/INP_Assumptions!$C$19</f>
        <v>0</v>
      </c>
      <c r="P29" s="328">
        <f t="shared" si="2"/>
        <v>0.22582499999999997</v>
      </c>
      <c r="Q29" s="361"/>
      <c r="S29" s="84">
        <f>SUMIF(CALC_Funding!$F:$F,$D29,CALC_Funding!AV:AV)/INP_Assumptions!$C$19</f>
        <v>0</v>
      </c>
      <c r="T29" s="81">
        <f>SUMIF(CALC_Funding!$F:$F,$D29,CALC_Funding!AW:AW)/INP_Assumptions!$C$19</f>
        <v>0</v>
      </c>
      <c r="U29" s="81">
        <f>SUMIF(CALC_Funding!$F:$F,$D29,CALC_Funding!AX:AX)/INP_Assumptions!$C$19</f>
        <v>0.21349272999999999</v>
      </c>
      <c r="V29" s="81">
        <f>SUMIF(CALC_Funding!$F:$F,$D29,CALC_Funding!AY:AY)/INP_Assumptions!$C$19</f>
        <v>5.6527052374999998E-3</v>
      </c>
      <c r="W29" s="81">
        <f>SUMIF(CALC_Funding!$F:$F,$D29,CALC_Funding!AZ:AZ)/INP_Assumptions!$C$19</f>
        <v>0</v>
      </c>
      <c r="X29" s="81">
        <f>SUMIF(CALC_Funding!$F:$F,$D29,CALC_Funding!BA:BA)/INP_Assumptions!$C$19</f>
        <v>0</v>
      </c>
      <c r="Y29" s="81">
        <f>SUMIF(CALC_Funding!$F:$F,$D29,CALC_Funding!BB:BB)/INP_Assumptions!$C$19</f>
        <v>0</v>
      </c>
      <c r="Z29" s="81">
        <f>SUMIF(CALC_Funding!$F:$F,$D29,CALC_Funding!BC:BC)/INP_Assumptions!$C$19</f>
        <v>0</v>
      </c>
      <c r="AA29" s="328">
        <f t="shared" si="3"/>
        <v>0.21914543523749999</v>
      </c>
    </row>
    <row r="30" spans="1:27" ht="15.75" thickBot="1" x14ac:dyDescent="0.3">
      <c r="A30" s="37">
        <v>7</v>
      </c>
      <c r="B30" s="40" t="str">
        <f>VLOOKUP(A30,INP_Aggegation_Categories!$B$2:$C$12,2,FALSE)</f>
        <v>Finance &amp; Management</v>
      </c>
      <c r="C30" t="s">
        <v>41</v>
      </c>
      <c r="D30" s="284" t="s">
        <v>343</v>
      </c>
      <c r="E30" s="78">
        <f>SUMIF(CALC_Funding!$F:$F,$D30,CALC_Funding!S:S)/INP_Assumptions!$C$19</f>
        <v>0</v>
      </c>
      <c r="F30" s="78">
        <f>SUMIF(CALC_Funding!$F:$F,$D30,CALC_Funding!T:T)/INP_Assumptions!$C$19</f>
        <v>0</v>
      </c>
      <c r="G30" s="78"/>
      <c r="H30" s="85">
        <f>SUMIF(CALC_Funding!$F:$F,$D30,CALC_Funding!AI:AI)/INP_Assumptions!$C$19</f>
        <v>0</v>
      </c>
      <c r="I30" s="86">
        <f>SUMIF(CALC_Funding!$F:$F,$D30,CALC_Funding!AJ:AJ)/INP_Assumptions!$C$19</f>
        <v>0</v>
      </c>
      <c r="J30" s="86">
        <f>SUMIF(CALC_Funding!$F:$F,$D30,CALC_Funding!AK:AK)/INP_Assumptions!$C$19</f>
        <v>0</v>
      </c>
      <c r="K30" s="86">
        <f>SUMIF(CALC_Funding!$F:$F,$D30,CALC_Funding!AL:AL)/INP_Assumptions!$C$19</f>
        <v>0</v>
      </c>
      <c r="L30" s="86">
        <f>SUMIF(CALC_Funding!$F:$F,$D30,CALC_Funding!AM:AM)/INP_Assumptions!$C$19</f>
        <v>0</v>
      </c>
      <c r="M30" s="86">
        <f>SUMIF(CALC_Funding!$F:$F,$D30,CALC_Funding!AN:AN)/INP_Assumptions!$C$19</f>
        <v>0</v>
      </c>
      <c r="N30" s="86">
        <f>SUMIF(CALC_Funding!$F:$F,$D30,CALC_Funding!AO:AO)/INP_Assumptions!$C$19</f>
        <v>0</v>
      </c>
      <c r="O30" s="86">
        <f>SUMIF(CALC_Funding!$F:$F,$D30,CALC_Funding!AP:AP)/INP_Assumptions!$C$19</f>
        <v>0</v>
      </c>
      <c r="P30" s="328">
        <f t="shared" ref="P30:P31" si="8">SUM(H30:O30)</f>
        <v>0</v>
      </c>
      <c r="Q30" s="361"/>
      <c r="S30" s="85">
        <f>SUMIF(CALC_Funding!$F:$F,$D30,CALC_Funding!AV:AV)/INP_Assumptions!$C$19</f>
        <v>0</v>
      </c>
      <c r="T30" s="86">
        <f>SUMIF(CALC_Funding!$F:$F,$D30,CALC_Funding!AW:AW)/INP_Assumptions!$C$19</f>
        <v>0</v>
      </c>
      <c r="U30" s="86">
        <f>SUMIF(CALC_Funding!$F:$F,$D30,CALC_Funding!AX:AX)/INP_Assumptions!$C$19</f>
        <v>0</v>
      </c>
      <c r="V30" s="86">
        <f>SUMIF(CALC_Funding!$F:$F,$D30,CALC_Funding!AY:AY)/INP_Assumptions!$C$19</f>
        <v>0</v>
      </c>
      <c r="W30" s="86">
        <f>SUMIF(CALC_Funding!$F:$F,$D30,CALC_Funding!AZ:AZ)/INP_Assumptions!$C$19</f>
        <v>0</v>
      </c>
      <c r="X30" s="86">
        <f>SUMIF(CALC_Funding!$F:$F,$D30,CALC_Funding!BA:BA)/INP_Assumptions!$C$19</f>
        <v>0</v>
      </c>
      <c r="Y30" s="86">
        <f>SUMIF(CALC_Funding!$F:$F,$D30,CALC_Funding!BB:BB)/INP_Assumptions!$C$19</f>
        <v>0</v>
      </c>
      <c r="Z30" s="86">
        <f>SUMIF(CALC_Funding!$F:$F,$D30,CALC_Funding!BC:BC)/INP_Assumptions!$C$19</f>
        <v>0</v>
      </c>
      <c r="AA30" s="328">
        <f t="shared" ref="AA30:AA31" si="9">SUM(S30:Z30)</f>
        <v>0</v>
      </c>
    </row>
    <row r="31" spans="1:27" ht="15.75" thickBot="1" x14ac:dyDescent="0.3">
      <c r="A31" s="37">
        <v>11</v>
      </c>
      <c r="B31" s="40" t="str">
        <f>VLOOKUP(A31,INP_Aggegation_Categories!$B$2:$C$12,2,FALSE)</f>
        <v>Contingency</v>
      </c>
      <c r="C31" t="s">
        <v>37</v>
      </c>
      <c r="D31" s="284" t="s">
        <v>472</v>
      </c>
      <c r="E31" s="78">
        <f>SUMIF(CALC_Funding!$F:$F,$D31,CALC_Funding!S:S)/INP_Assumptions!$C$19</f>
        <v>3.9623513200000011</v>
      </c>
      <c r="F31" s="78">
        <f>SUMIF(CALC_Funding!$F:$F,$D31,CALC_Funding!T:T)/INP_Assumptions!$C$19</f>
        <v>3.6335769596374226</v>
      </c>
      <c r="G31" s="78"/>
      <c r="H31" s="85">
        <f>SUMIF(CALC_Funding!$F:$F,$D31,CALC_Funding!AI:AI)/INP_Assumptions!$C$19</f>
        <v>0</v>
      </c>
      <c r="I31" s="86">
        <f>SUMIF(CALC_Funding!$F:$F,$D31,CALC_Funding!AJ:AJ)/INP_Assumptions!$C$19</f>
        <v>0</v>
      </c>
      <c r="J31" s="86">
        <f>SUMIF(CALC_Funding!$F:$F,$D31,CALC_Funding!AK:AK)/INP_Assumptions!$C$19</f>
        <v>2.0770763200000011</v>
      </c>
      <c r="K31" s="86">
        <f>SUMIF(CALC_Funding!$F:$F,$D31,CALC_Funding!AL:AL)/INP_Assumptions!$C$19</f>
        <v>1.8852750000000003</v>
      </c>
      <c r="L31" s="86">
        <f>SUMIF(CALC_Funding!$F:$F,$D31,CALC_Funding!AM:AM)/INP_Assumptions!$C$19</f>
        <v>0</v>
      </c>
      <c r="M31" s="86">
        <f>SUMIF(CALC_Funding!$F:$F,$D31,CALC_Funding!AN:AN)/INP_Assumptions!$C$19</f>
        <v>0</v>
      </c>
      <c r="N31" s="86">
        <f>SUMIF(CALC_Funding!$F:$F,$D31,CALC_Funding!AO:AO)/INP_Assumptions!$C$19</f>
        <v>0</v>
      </c>
      <c r="O31" s="86">
        <f>SUMIF(CALC_Funding!$F:$F,$D31,CALC_Funding!AP:AP)/INP_Assumptions!$C$19</f>
        <v>0</v>
      </c>
      <c r="P31" s="328">
        <f t="shared" si="8"/>
        <v>3.9623513200000016</v>
      </c>
      <c r="Q31" s="361"/>
      <c r="S31" s="85">
        <f>SUMIF(CALC_Funding!$F:$F,$D31,CALC_Funding!AV:AV)/INP_Assumptions!$C$19</f>
        <v>0</v>
      </c>
      <c r="T31" s="86">
        <f>SUMIF(CALC_Funding!$F:$F,$D31,CALC_Funding!AW:AW)/INP_Assumptions!$C$19</f>
        <v>0</v>
      </c>
      <c r="U31" s="86">
        <f>SUMIF(CALC_Funding!$F:$F,$D31,CALC_Funding!AX:AX)/INP_Assumptions!$C$19</f>
        <v>1.9164982711209702</v>
      </c>
      <c r="V31" s="86">
        <f>SUMIF(CALC_Funding!$F:$F,$D31,CALC_Funding!AY:AY)/INP_Assumptions!$C$19</f>
        <v>1.7170786885164524</v>
      </c>
      <c r="W31" s="86">
        <f>SUMIF(CALC_Funding!$F:$F,$D31,CALC_Funding!AZ:AZ)/INP_Assumptions!$C$19</f>
        <v>0</v>
      </c>
      <c r="X31" s="86">
        <f>SUMIF(CALC_Funding!$F:$F,$D31,CALC_Funding!BA:BA)/INP_Assumptions!$C$19</f>
        <v>0</v>
      </c>
      <c r="Y31" s="86">
        <f>SUMIF(CALC_Funding!$F:$F,$D31,CALC_Funding!BB:BB)/INP_Assumptions!$C$19</f>
        <v>0</v>
      </c>
      <c r="Z31" s="86">
        <f>SUMIF(CALC_Funding!$F:$F,$D31,CALC_Funding!BC:BC)/INP_Assumptions!$C$19</f>
        <v>0</v>
      </c>
      <c r="AA31" s="328">
        <f t="shared" si="9"/>
        <v>3.6335769596374226</v>
      </c>
    </row>
    <row r="32" spans="1:27" ht="15.75" thickBot="1" x14ac:dyDescent="0.3">
      <c r="A32" s="37">
        <v>11</v>
      </c>
      <c r="B32" s="40" t="str">
        <f>VLOOKUP(A32,INP_Aggegation_Categories!$B$2:$C$12,2,FALSE)</f>
        <v>Contingency</v>
      </c>
      <c r="C32" t="s">
        <v>38</v>
      </c>
      <c r="D32" s="284" t="s">
        <v>473</v>
      </c>
      <c r="E32" s="78">
        <f>SUMIF(CALC_Funding!$F:$F,$D32,CALC_Funding!S:S)/INP_Assumptions!$C$19</f>
        <v>0.44440000000000002</v>
      </c>
      <c r="F32" s="78">
        <f>SUMIF(CALC_Funding!$F:$F,$D32,CALC_Funding!T:T)/INP_Assumptions!$C$19</f>
        <v>0.42908454599999996</v>
      </c>
      <c r="G32" s="78"/>
      <c r="H32" s="85">
        <f>SUMIF(CALC_Funding!$F:$F,$D32,CALC_Funding!AI:AI)/INP_Assumptions!$C$19</f>
        <v>0</v>
      </c>
      <c r="I32" s="86">
        <f>SUMIF(CALC_Funding!$F:$F,$D32,CALC_Funding!AJ:AJ)/INP_Assumptions!$C$19</f>
        <v>0</v>
      </c>
      <c r="J32" s="86">
        <f>SUMIF(CALC_Funding!$F:$F,$D32,CALC_Funding!AK:AK)/INP_Assumptions!$C$19</f>
        <v>0.44440000000000002</v>
      </c>
      <c r="K32" s="86">
        <f>SUMIF(CALC_Funding!$F:$F,$D32,CALC_Funding!AL:AL)/INP_Assumptions!$C$19</f>
        <v>0</v>
      </c>
      <c r="L32" s="86">
        <f>SUMIF(CALC_Funding!$F:$F,$D32,CALC_Funding!AM:AM)/INP_Assumptions!$C$19</f>
        <v>0</v>
      </c>
      <c r="M32" s="86">
        <f>SUMIF(CALC_Funding!$F:$F,$D32,CALC_Funding!AN:AN)/INP_Assumptions!$C$19</f>
        <v>0</v>
      </c>
      <c r="N32" s="86">
        <f>SUMIF(CALC_Funding!$F:$F,$D32,CALC_Funding!AO:AO)/INP_Assumptions!$C$19</f>
        <v>0</v>
      </c>
      <c r="O32" s="86">
        <f>SUMIF(CALC_Funding!$F:$F,$D32,CALC_Funding!AP:AP)/INP_Assumptions!$C$19</f>
        <v>0</v>
      </c>
      <c r="P32" s="328">
        <f t="shared" si="2"/>
        <v>0.44440000000000002</v>
      </c>
      <c r="Q32" s="361"/>
      <c r="S32" s="85">
        <f>SUMIF(CALC_Funding!$F:$F,$D32,CALC_Funding!AV:AV)/INP_Assumptions!$C$19</f>
        <v>0</v>
      </c>
      <c r="T32" s="86">
        <f>SUMIF(CALC_Funding!$F:$F,$D32,CALC_Funding!AW:AW)/INP_Assumptions!$C$19</f>
        <v>0</v>
      </c>
      <c r="U32" s="86">
        <f>SUMIF(CALC_Funding!$F:$F,$D32,CALC_Funding!AX:AX)/INP_Assumptions!$C$19</f>
        <v>0.42908454599999996</v>
      </c>
      <c r="V32" s="86">
        <f>SUMIF(CALC_Funding!$F:$F,$D32,CALC_Funding!AY:AY)/INP_Assumptions!$C$19</f>
        <v>0</v>
      </c>
      <c r="W32" s="86">
        <f>SUMIF(CALC_Funding!$F:$F,$D32,CALC_Funding!AZ:AZ)/INP_Assumptions!$C$19</f>
        <v>0</v>
      </c>
      <c r="X32" s="86">
        <f>SUMIF(CALC_Funding!$F:$F,$D32,CALC_Funding!BA:BA)/INP_Assumptions!$C$19</f>
        <v>0</v>
      </c>
      <c r="Y32" s="86">
        <f>SUMIF(CALC_Funding!$F:$F,$D32,CALC_Funding!BB:BB)/INP_Assumptions!$C$19</f>
        <v>0</v>
      </c>
      <c r="Z32" s="86">
        <f>SUMIF(CALC_Funding!$F:$F,$D32,CALC_Funding!BC:BC)/INP_Assumptions!$C$19</f>
        <v>0</v>
      </c>
      <c r="AA32" s="328">
        <f t="shared" si="3"/>
        <v>0.42908454599999996</v>
      </c>
    </row>
    <row r="33" spans="3:27" x14ac:dyDescent="0.25">
      <c r="P33" s="21"/>
      <c r="Q33" s="361"/>
      <c r="AA33" s="21"/>
    </row>
    <row r="34" spans="3:27" x14ac:dyDescent="0.25">
      <c r="G34" s="21" t="s">
        <v>178</v>
      </c>
      <c r="H34" s="328">
        <f t="shared" ref="H34:P34" si="10">SUM(H5:H32)</f>
        <v>1.9521000000000002</v>
      </c>
      <c r="I34" s="328">
        <f t="shared" si="10"/>
        <v>1.9124999999999999</v>
      </c>
      <c r="J34" s="328">
        <f t="shared" si="10"/>
        <v>28.148914320000003</v>
      </c>
      <c r="K34" s="328">
        <f t="shared" si="10"/>
        <v>15.045450000000001</v>
      </c>
      <c r="L34" s="328">
        <f t="shared" si="10"/>
        <v>3</v>
      </c>
      <c r="M34" s="328">
        <f t="shared" si="10"/>
        <v>0.26250000000000001</v>
      </c>
      <c r="N34" s="328">
        <f t="shared" si="10"/>
        <v>2.2801923116438334</v>
      </c>
      <c r="O34" s="328">
        <f t="shared" si="10"/>
        <v>0</v>
      </c>
      <c r="P34" s="328">
        <f t="shared" si="10"/>
        <v>52.601656631643841</v>
      </c>
      <c r="R34" s="21" t="s">
        <v>178</v>
      </c>
      <c r="S34" s="328">
        <f t="shared" ref="S34:AA34" si="11">SUM(S5:S32)</f>
        <v>1.9521000000000002</v>
      </c>
      <c r="T34" s="328">
        <f t="shared" si="11"/>
        <v>1.8126502499999999</v>
      </c>
      <c r="U34" s="328">
        <f t="shared" si="11"/>
        <v>26.346161057137635</v>
      </c>
      <c r="V34" s="328">
        <f t="shared" si="11"/>
        <v>13.92623405956861</v>
      </c>
      <c r="W34" s="328">
        <f t="shared" si="11"/>
        <v>3</v>
      </c>
      <c r="X34" s="328">
        <f t="shared" si="11"/>
        <v>0.2533125</v>
      </c>
      <c r="Y34" s="328">
        <f t="shared" si="11"/>
        <v>20.245732230014411</v>
      </c>
      <c r="Z34" s="328">
        <f t="shared" si="11"/>
        <v>0</v>
      </c>
      <c r="AA34" s="328">
        <f t="shared" si="11"/>
        <v>67.536190096720645</v>
      </c>
    </row>
    <row r="35" spans="3:27" x14ac:dyDescent="0.25">
      <c r="J35" s="99">
        <f>(J32+K32)/(J34+K34)</f>
        <v>1.0288379213263069E-2</v>
      </c>
      <c r="M35" s="80">
        <f>SUM(H34:M34)</f>
        <v>50.321464320000011</v>
      </c>
      <c r="X35" s="80">
        <f>SUM(S34:X34)</f>
        <v>47.290457866706241</v>
      </c>
    </row>
    <row r="36" spans="3:27" ht="15.75" thickBot="1" x14ac:dyDescent="0.3">
      <c r="F36" t="s">
        <v>357</v>
      </c>
      <c r="G36" t="str">
        <f t="shared" ref="G36:O36" si="12">G2</f>
        <v>Undiscounted</v>
      </c>
      <c r="H36" s="40" t="str">
        <f t="shared" si="12"/>
        <v>Early Measures Fund</v>
      </c>
      <c r="I36" s="40" t="str">
        <f t="shared" si="12"/>
        <v>OLEV Funding</v>
      </c>
      <c r="J36" s="40" t="str">
        <f t="shared" si="12"/>
        <v>Implementation Fund</v>
      </c>
      <c r="K36" s="40" t="str">
        <f t="shared" si="12"/>
        <v>Clean Air Fund</v>
      </c>
      <c r="L36" s="40" t="str">
        <f t="shared" si="12"/>
        <v>Other Government Funding</v>
      </c>
      <c r="M36" s="40" t="str">
        <f t="shared" si="12"/>
        <v>Council Funded</v>
      </c>
      <c r="N36" s="40" t="str">
        <f t="shared" si="12"/>
        <v>Private Sector Funded</v>
      </c>
      <c r="O36" s="40" t="str">
        <f t="shared" si="12"/>
        <v>General Public Funded</v>
      </c>
      <c r="P36" t="s">
        <v>178</v>
      </c>
      <c r="R36" t="str">
        <f t="shared" ref="R36:Z36" si="13">R2</f>
        <v>Discounted</v>
      </c>
      <c r="S36" s="40" t="str">
        <f t="shared" si="13"/>
        <v>Early Measures Fund</v>
      </c>
      <c r="T36" s="40" t="str">
        <f t="shared" si="13"/>
        <v>OLEV Funding</v>
      </c>
      <c r="U36" s="40" t="str">
        <f t="shared" si="13"/>
        <v>Implementation Fund</v>
      </c>
      <c r="V36" s="40" t="str">
        <f t="shared" si="13"/>
        <v>Clean Air Fund</v>
      </c>
      <c r="W36" s="40" t="str">
        <f t="shared" si="13"/>
        <v>Other Government Funding</v>
      </c>
      <c r="X36" s="40" t="str">
        <f t="shared" si="13"/>
        <v>Council Funded</v>
      </c>
      <c r="Y36" s="40" t="str">
        <f t="shared" si="13"/>
        <v>Private Sector Funded</v>
      </c>
      <c r="Z36" s="40" t="str">
        <f t="shared" si="13"/>
        <v>General Public Funded</v>
      </c>
      <c r="AA36" t="s">
        <v>178</v>
      </c>
    </row>
    <row r="37" spans="3:27" x14ac:dyDescent="0.25">
      <c r="G37" t="s">
        <v>37</v>
      </c>
      <c r="H37" s="82">
        <f t="shared" ref="H37:O40" si="14">SUMIF($C$5:$C$32,$G37,H$5:H$32)</f>
        <v>1.2471000000000001</v>
      </c>
      <c r="I37" s="83">
        <f t="shared" si="14"/>
        <v>1.7625</v>
      </c>
      <c r="J37" s="83">
        <f t="shared" si="14"/>
        <v>24.920014320000003</v>
      </c>
      <c r="K37" s="83">
        <f t="shared" si="14"/>
        <v>14.923124999999999</v>
      </c>
      <c r="L37" s="83">
        <f t="shared" si="14"/>
        <v>3</v>
      </c>
      <c r="M37" s="83">
        <f t="shared" si="14"/>
        <v>0.26250000000000001</v>
      </c>
      <c r="N37" s="83">
        <f t="shared" si="14"/>
        <v>-11.751189743150686</v>
      </c>
      <c r="O37" s="83">
        <f t="shared" si="14"/>
        <v>0</v>
      </c>
      <c r="P37" s="80">
        <f>SUM(H37:O37)</f>
        <v>34.364049576849311</v>
      </c>
      <c r="R37" t="s">
        <v>37</v>
      </c>
      <c r="S37" s="82">
        <f t="shared" ref="S37:Z40" si="15">SUMIF($C$5:$C$32,$R37,S$5:S$32)</f>
        <v>1.2471000000000001</v>
      </c>
      <c r="T37" s="83">
        <f t="shared" si="15"/>
        <v>1.66790025</v>
      </c>
      <c r="U37" s="83">
        <f t="shared" si="15"/>
        <v>23.223284997887632</v>
      </c>
      <c r="V37" s="83">
        <f t="shared" si="15"/>
        <v>13.808123176206111</v>
      </c>
      <c r="W37" s="83">
        <f t="shared" si="15"/>
        <v>3</v>
      </c>
      <c r="X37" s="83">
        <f t="shared" si="15"/>
        <v>0.2533125</v>
      </c>
      <c r="Y37" s="83">
        <f t="shared" si="15"/>
        <v>-5.439014273955328</v>
      </c>
      <c r="Z37" s="83">
        <f t="shared" si="15"/>
        <v>0</v>
      </c>
      <c r="AA37" s="80">
        <f>SUM(S37:Z37)</f>
        <v>37.76070665013841</v>
      </c>
    </row>
    <row r="38" spans="3:27" x14ac:dyDescent="0.25">
      <c r="G38" t="s">
        <v>38</v>
      </c>
      <c r="H38" s="84">
        <f t="shared" si="14"/>
        <v>0.70500000000000007</v>
      </c>
      <c r="I38" s="81">
        <f t="shared" si="14"/>
        <v>0.15</v>
      </c>
      <c r="J38" s="81">
        <f t="shared" si="14"/>
        <v>3.2289000000000003</v>
      </c>
      <c r="K38" s="81">
        <f t="shared" si="14"/>
        <v>0.122325</v>
      </c>
      <c r="L38" s="81">
        <f t="shared" si="14"/>
        <v>0</v>
      </c>
      <c r="M38" s="81">
        <f t="shared" si="14"/>
        <v>0</v>
      </c>
      <c r="N38" s="81">
        <f t="shared" si="14"/>
        <v>-0.70344794520547915</v>
      </c>
      <c r="O38" s="81">
        <f t="shared" si="14"/>
        <v>0</v>
      </c>
      <c r="P38" s="80">
        <f t="shared" ref="P38:P40" si="16">SUM(H38:O38)</f>
        <v>3.5027770547945218</v>
      </c>
      <c r="R38" t="s">
        <v>38</v>
      </c>
      <c r="S38" s="84">
        <f t="shared" si="15"/>
        <v>0.70500000000000007</v>
      </c>
      <c r="T38" s="81">
        <f t="shared" si="15"/>
        <v>0.14474999999999999</v>
      </c>
      <c r="U38" s="81">
        <f t="shared" si="15"/>
        <v>3.1228760592499998</v>
      </c>
      <c r="V38" s="81">
        <f t="shared" si="15"/>
        <v>0.1181108833625</v>
      </c>
      <c r="W38" s="81">
        <f t="shared" si="15"/>
        <v>0</v>
      </c>
      <c r="X38" s="81">
        <f t="shared" si="15"/>
        <v>0</v>
      </c>
      <c r="Y38" s="81">
        <f t="shared" si="15"/>
        <v>6.2544823348627973E-2</v>
      </c>
      <c r="Z38" s="81">
        <f t="shared" si="15"/>
        <v>0</v>
      </c>
      <c r="AA38" s="80">
        <f t="shared" ref="AA38:AA40" si="17">SUM(S38:Z38)</f>
        <v>4.1532817659611281</v>
      </c>
    </row>
    <row r="39" spans="3:27" x14ac:dyDescent="0.25">
      <c r="G39" t="s">
        <v>41</v>
      </c>
      <c r="H39" s="84">
        <f t="shared" si="14"/>
        <v>0</v>
      </c>
      <c r="I39" s="81">
        <f t="shared" si="14"/>
        <v>0</v>
      </c>
      <c r="J39" s="81">
        <f t="shared" si="14"/>
        <v>0</v>
      </c>
      <c r="K39" s="81">
        <f t="shared" si="14"/>
        <v>0</v>
      </c>
      <c r="L39" s="81">
        <f t="shared" si="14"/>
        <v>0</v>
      </c>
      <c r="M39" s="81">
        <f t="shared" si="14"/>
        <v>0</v>
      </c>
      <c r="N39" s="81">
        <f t="shared" si="14"/>
        <v>0</v>
      </c>
      <c r="O39" s="81">
        <f t="shared" si="14"/>
        <v>0</v>
      </c>
      <c r="P39" s="80">
        <f t="shared" si="16"/>
        <v>0</v>
      </c>
      <c r="R39" t="s">
        <v>41</v>
      </c>
      <c r="S39" s="84">
        <f t="shared" si="15"/>
        <v>0</v>
      </c>
      <c r="T39" s="81">
        <f t="shared" si="15"/>
        <v>0</v>
      </c>
      <c r="U39" s="81">
        <f t="shared" si="15"/>
        <v>0</v>
      </c>
      <c r="V39" s="81">
        <f t="shared" si="15"/>
        <v>0</v>
      </c>
      <c r="W39" s="81">
        <f t="shared" si="15"/>
        <v>0</v>
      </c>
      <c r="X39" s="81">
        <f t="shared" si="15"/>
        <v>0</v>
      </c>
      <c r="Y39" s="81">
        <f t="shared" si="15"/>
        <v>0</v>
      </c>
      <c r="Z39" s="81">
        <f t="shared" si="15"/>
        <v>0</v>
      </c>
      <c r="AA39" s="80">
        <f t="shared" si="17"/>
        <v>0</v>
      </c>
    </row>
    <row r="40" spans="3:27" ht="15.75" thickBot="1" x14ac:dyDescent="0.3">
      <c r="G40" t="s">
        <v>114</v>
      </c>
      <c r="H40" s="85">
        <f t="shared" si="14"/>
        <v>0</v>
      </c>
      <c r="I40" s="86">
        <f t="shared" si="14"/>
        <v>0</v>
      </c>
      <c r="J40" s="86">
        <f t="shared" si="14"/>
        <v>0</v>
      </c>
      <c r="K40" s="86">
        <f t="shared" si="14"/>
        <v>0</v>
      </c>
      <c r="L40" s="86">
        <f t="shared" si="14"/>
        <v>0</v>
      </c>
      <c r="M40" s="86">
        <f t="shared" si="14"/>
        <v>0</v>
      </c>
      <c r="N40" s="86">
        <f t="shared" si="14"/>
        <v>0</v>
      </c>
      <c r="O40" s="86">
        <f t="shared" si="14"/>
        <v>0</v>
      </c>
      <c r="P40" s="80">
        <f t="shared" si="16"/>
        <v>0</v>
      </c>
      <c r="R40" t="s">
        <v>114</v>
      </c>
      <c r="S40" s="85">
        <f t="shared" si="15"/>
        <v>0</v>
      </c>
      <c r="T40" s="86">
        <f t="shared" si="15"/>
        <v>0</v>
      </c>
      <c r="U40" s="86">
        <f t="shared" si="15"/>
        <v>0</v>
      </c>
      <c r="V40" s="86">
        <f t="shared" si="15"/>
        <v>0</v>
      </c>
      <c r="W40" s="86">
        <f t="shared" si="15"/>
        <v>0</v>
      </c>
      <c r="X40" s="86">
        <f t="shared" si="15"/>
        <v>0</v>
      </c>
      <c r="Y40" s="86">
        <f t="shared" si="15"/>
        <v>0</v>
      </c>
      <c r="Z40" s="86">
        <f t="shared" si="15"/>
        <v>0</v>
      </c>
      <c r="AA40" s="80">
        <f t="shared" si="17"/>
        <v>0</v>
      </c>
    </row>
    <row r="42" spans="3:27" x14ac:dyDescent="0.25">
      <c r="G42" t="s">
        <v>178</v>
      </c>
      <c r="H42" s="80">
        <f>SUM(H37:H40)</f>
        <v>1.9521000000000002</v>
      </c>
      <c r="I42" s="80">
        <f t="shared" ref="I42:P42" si="18">SUM(I37:I40)</f>
        <v>1.9124999999999999</v>
      </c>
      <c r="J42" s="80">
        <f t="shared" si="18"/>
        <v>28.148914320000003</v>
      </c>
      <c r="K42" s="80">
        <f t="shared" si="18"/>
        <v>15.045449999999999</v>
      </c>
      <c r="L42" s="80">
        <f t="shared" si="18"/>
        <v>3</v>
      </c>
      <c r="M42" s="80">
        <f t="shared" si="18"/>
        <v>0.26250000000000001</v>
      </c>
      <c r="N42" s="80">
        <f t="shared" ref="N42:O42" si="19">SUM(N37:N40)</f>
        <v>-12.454637688356165</v>
      </c>
      <c r="O42" s="80">
        <f t="shared" si="19"/>
        <v>0</v>
      </c>
      <c r="P42" s="80">
        <f t="shared" si="18"/>
        <v>37.866826631643832</v>
      </c>
      <c r="R42" t="s">
        <v>178</v>
      </c>
      <c r="S42" s="80">
        <f>SUM(S37:S40)</f>
        <v>1.9521000000000002</v>
      </c>
      <c r="T42" s="80">
        <f t="shared" ref="T42:AA42" si="20">SUM(T37:T40)</f>
        <v>1.8126502499999999</v>
      </c>
      <c r="U42" s="80">
        <f t="shared" si="20"/>
        <v>26.346161057137632</v>
      </c>
      <c r="V42" s="80">
        <f t="shared" si="20"/>
        <v>13.92623405956861</v>
      </c>
      <c r="W42" s="80">
        <f t="shared" si="20"/>
        <v>3</v>
      </c>
      <c r="X42" s="80">
        <f t="shared" si="20"/>
        <v>0.2533125</v>
      </c>
      <c r="Y42" s="80">
        <f t="shared" ref="Y42:Z42" si="21">SUM(Y37:Y40)</f>
        <v>-5.3764694506066997</v>
      </c>
      <c r="Z42" s="80">
        <f t="shared" si="21"/>
        <v>0</v>
      </c>
      <c r="AA42" s="80">
        <f t="shared" si="20"/>
        <v>41.913988416099535</v>
      </c>
    </row>
    <row r="43" spans="3:27" x14ac:dyDescent="0.25">
      <c r="H43" s="80"/>
      <c r="I43" s="80"/>
      <c r="J43" s="80"/>
      <c r="K43" s="80"/>
      <c r="L43" s="80"/>
      <c r="M43" s="80"/>
      <c r="N43" s="80"/>
      <c r="O43" s="80"/>
      <c r="P43" s="80"/>
      <c r="S43" s="80"/>
      <c r="T43" s="80"/>
      <c r="U43" s="80"/>
      <c r="V43" s="80"/>
      <c r="W43" s="80"/>
      <c r="X43" s="80"/>
      <c r="Y43" s="80"/>
      <c r="Z43" s="80"/>
      <c r="AA43" s="80"/>
    </row>
    <row r="44" spans="3:27" ht="15.75" thickBot="1" x14ac:dyDescent="0.3">
      <c r="C44" t="s">
        <v>41</v>
      </c>
      <c r="D44" s="284" t="s">
        <v>356</v>
      </c>
      <c r="H44" s="85">
        <f>SUMIF(CALC_Funding!$F:$F,$D44,CALC_Funding!AI:AI)/INP_Assumptions!$C$19</f>
        <v>0</v>
      </c>
      <c r="I44" s="85">
        <f>SUMIF(CALC_Funding!$F:$F,$D44,CALC_Funding!AJ:AJ)/INP_Assumptions!$C$19</f>
        <v>0</v>
      </c>
      <c r="J44" s="85">
        <f>SUMIF(CALC_Funding!$F:$F,$D44,CALC_Funding!AK:AK)/INP_Assumptions!$C$19</f>
        <v>0.93654810273972611</v>
      </c>
      <c r="K44" s="85">
        <f>SUMIF(CALC_Funding!$F:$F,$D44,CALC_Funding!AL:AL)/INP_Assumptions!$C$19</f>
        <v>0</v>
      </c>
      <c r="L44" s="85">
        <f>SUMIF(CALC_Funding!$F:$F,$D44,CALC_Funding!AM:AM)/INP_Assumptions!$C$19</f>
        <v>0</v>
      </c>
      <c r="M44" s="85">
        <f>SUMIF(CALC_Funding!$F:$F,$D44,CALC_Funding!AN:AN)/INP_Assumptions!$C$19</f>
        <v>16.188813952054794</v>
      </c>
      <c r="N44" s="85">
        <f>SUMIF(CALC_Funding!$F:$F,$D44,CALC_Funding!AO:AO)/INP_Assumptions!$C$19</f>
        <v>0</v>
      </c>
      <c r="O44" s="85">
        <f>SUMIF(CALC_Funding!$F:$F,$D44,CALC_Funding!AP:AP)/INP_Assumptions!$C$19</f>
        <v>0</v>
      </c>
      <c r="P44" s="80">
        <f>SUM(H44:O44)</f>
        <v>17.125362054794518</v>
      </c>
      <c r="S44" s="85">
        <f>SUMIF(CALC_Funding!$F:$F,$D44,CALC_Funding!AV:AV)/INP_Assumptions!$C$19</f>
        <v>0</v>
      </c>
      <c r="T44" s="86">
        <f>SUMIF(CALC_Funding!$F:$F,$D44,CALC_Funding!AW:AW)/INP_Assumptions!$C$19</f>
        <v>0</v>
      </c>
      <c r="U44" s="86">
        <f>SUMIF(CALC_Funding!$F:$F,$D44,CALC_Funding!AX:AX)/INP_Assumptions!$C$19</f>
        <v>0.8313267142328743</v>
      </c>
      <c r="V44" s="86">
        <f>SUMIF(CALC_Funding!$F:$F,$D44,CALC_Funding!AY:AY)/INP_Assumptions!$C$19</f>
        <v>0</v>
      </c>
      <c r="W44" s="86">
        <f>SUMIF(CALC_Funding!$F:$F,$D44,CALC_Funding!AZ:AZ)/INP_Assumptions!$C$19</f>
        <v>0</v>
      </c>
      <c r="X44" s="86">
        <f>SUMIF(CALC_Funding!$F:$F,$D44,CALC_Funding!BA:BA)/INP_Assumptions!$C$19</f>
        <v>14.407509721825305</v>
      </c>
      <c r="Y44" s="86">
        <f>SUMIF(CALC_Funding!$F:$F,$D44,CALC_Funding!BB:BB)/INP_Assumptions!$C$19</f>
        <v>0</v>
      </c>
      <c r="Z44" s="86">
        <f>SUMIF(CALC_Funding!$F:$F,$D44,CALC_Funding!BC:BC)/INP_Assumptions!$C$19</f>
        <v>0</v>
      </c>
      <c r="AA44" s="80">
        <f>SUM(S44:Z44)</f>
        <v>15.238836436058179</v>
      </c>
    </row>
    <row r="46" spans="3:27" x14ac:dyDescent="0.25">
      <c r="U46" s="99"/>
    </row>
  </sheetData>
  <mergeCells count="1">
    <mergeCell ref="A4:B4"/>
  </mergeCells>
  <conditionalFormatting sqref="H32:M32 H5:M12 H14:M14 H16:M29">
    <cfRule type="colorScale" priority="60">
      <colorScale>
        <cfvo type="min"/>
        <cfvo type="percentile" val="50"/>
        <cfvo type="max"/>
        <color rgb="FF63BE7B"/>
        <color rgb="FFFFEB84"/>
        <color rgb="FFF8696B"/>
      </colorScale>
    </cfRule>
  </conditionalFormatting>
  <conditionalFormatting sqref="S32:X32 S5:X12 S14:X14 S16:X29">
    <cfRule type="colorScale" priority="59">
      <colorScale>
        <cfvo type="min"/>
        <cfvo type="percentile" val="50"/>
        <cfvo type="max"/>
        <color rgb="FF63BE7B"/>
        <color rgb="FFFFEB84"/>
        <color rgb="FFF8696B"/>
      </colorScale>
    </cfRule>
  </conditionalFormatting>
  <conditionalFormatting sqref="H44:M44">
    <cfRule type="colorScale" priority="58">
      <colorScale>
        <cfvo type="min"/>
        <cfvo type="percentile" val="50"/>
        <cfvo type="max"/>
        <color rgb="FF63BE7B"/>
        <color rgb="FFFFEB84"/>
        <color rgb="FFF8696B"/>
      </colorScale>
    </cfRule>
  </conditionalFormatting>
  <conditionalFormatting sqref="S44:X44">
    <cfRule type="colorScale" priority="57">
      <colorScale>
        <cfvo type="min"/>
        <cfvo type="percentile" val="50"/>
        <cfvo type="max"/>
        <color rgb="FF63BE7B"/>
        <color rgb="FFFFEB84"/>
        <color rgb="FFF8696B"/>
      </colorScale>
    </cfRule>
  </conditionalFormatting>
  <conditionalFormatting sqref="N5:N12 N32 N14 N16:N29">
    <cfRule type="colorScale" priority="56">
      <colorScale>
        <cfvo type="min"/>
        <cfvo type="percentile" val="50"/>
        <cfvo type="max"/>
        <color rgb="FF63BE7B"/>
        <color rgb="FFFFEB84"/>
        <color rgb="FFF8696B"/>
      </colorScale>
    </cfRule>
  </conditionalFormatting>
  <conditionalFormatting sqref="N44">
    <cfRule type="colorScale" priority="55">
      <colorScale>
        <cfvo type="min"/>
        <cfvo type="percentile" val="50"/>
        <cfvo type="max"/>
        <color rgb="FF63BE7B"/>
        <color rgb="FFFFEB84"/>
        <color rgb="FFF8696B"/>
      </colorScale>
    </cfRule>
  </conditionalFormatting>
  <conditionalFormatting sqref="O5:O12 O32 O14 O16:O29">
    <cfRule type="colorScale" priority="54">
      <colorScale>
        <cfvo type="min"/>
        <cfvo type="percentile" val="50"/>
        <cfvo type="max"/>
        <color rgb="FF63BE7B"/>
        <color rgb="FFFFEB84"/>
        <color rgb="FFF8696B"/>
      </colorScale>
    </cfRule>
  </conditionalFormatting>
  <conditionalFormatting sqref="O44">
    <cfRule type="colorScale" priority="53">
      <colorScale>
        <cfvo type="min"/>
        <cfvo type="percentile" val="50"/>
        <cfvo type="max"/>
        <color rgb="FF63BE7B"/>
        <color rgb="FFFFEB84"/>
        <color rgb="FFF8696B"/>
      </colorScale>
    </cfRule>
  </conditionalFormatting>
  <conditionalFormatting sqref="Y5:Y12 Y32 Y14 Y16:Y29">
    <cfRule type="colorScale" priority="52">
      <colorScale>
        <cfvo type="min"/>
        <cfvo type="percentile" val="50"/>
        <cfvo type="max"/>
        <color rgb="FF63BE7B"/>
        <color rgb="FFFFEB84"/>
        <color rgb="FFF8696B"/>
      </colorScale>
    </cfRule>
  </conditionalFormatting>
  <conditionalFormatting sqref="Y44">
    <cfRule type="colorScale" priority="51">
      <colorScale>
        <cfvo type="min"/>
        <cfvo type="percentile" val="50"/>
        <cfvo type="max"/>
        <color rgb="FF63BE7B"/>
        <color rgb="FFFFEB84"/>
        <color rgb="FFF8696B"/>
      </colorScale>
    </cfRule>
  </conditionalFormatting>
  <conditionalFormatting sqref="Z5:Z12 Z32 Z14 Z16:Z29">
    <cfRule type="colorScale" priority="50">
      <colorScale>
        <cfvo type="min"/>
        <cfvo type="percentile" val="50"/>
        <cfvo type="max"/>
        <color rgb="FF63BE7B"/>
        <color rgb="FFFFEB84"/>
        <color rgb="FFF8696B"/>
      </colorScale>
    </cfRule>
  </conditionalFormatting>
  <conditionalFormatting sqref="Z44">
    <cfRule type="colorScale" priority="49">
      <colorScale>
        <cfvo type="min"/>
        <cfvo type="percentile" val="50"/>
        <cfvo type="max"/>
        <color rgb="FF63BE7B"/>
        <color rgb="FFFFEB84"/>
        <color rgb="FFF8696B"/>
      </colorScale>
    </cfRule>
  </conditionalFormatting>
  <conditionalFormatting sqref="H32:O32 H5:O12 H14:O14 H16:O29">
    <cfRule type="colorScale" priority="46">
      <colorScale>
        <cfvo type="min"/>
        <cfvo type="percentile" val="50"/>
        <cfvo type="max"/>
        <color rgb="FF63BE7B"/>
        <color rgb="FFFFEB84"/>
        <color rgb="FFF8696B"/>
      </colorScale>
    </cfRule>
  </conditionalFormatting>
  <conditionalFormatting sqref="S32:Z32 S5:Z12 S14:Z14 S16:Z29">
    <cfRule type="colorScale" priority="45">
      <colorScale>
        <cfvo type="min"/>
        <cfvo type="percentile" val="50"/>
        <cfvo type="max"/>
        <color rgb="FF63BE7B"/>
        <color rgb="FFFFEB84"/>
        <color rgb="FFF8696B"/>
      </colorScale>
    </cfRule>
  </conditionalFormatting>
  <conditionalFormatting sqref="H30:M30">
    <cfRule type="colorScale" priority="44">
      <colorScale>
        <cfvo type="min"/>
        <cfvo type="percentile" val="50"/>
        <cfvo type="max"/>
        <color rgb="FF63BE7B"/>
        <color rgb="FFFFEB84"/>
        <color rgb="FFF8696B"/>
      </colorScale>
    </cfRule>
  </conditionalFormatting>
  <conditionalFormatting sqref="S30:X30">
    <cfRule type="colorScale" priority="43">
      <colorScale>
        <cfvo type="min"/>
        <cfvo type="percentile" val="50"/>
        <cfvo type="max"/>
        <color rgb="FF63BE7B"/>
        <color rgb="FFFFEB84"/>
        <color rgb="FFF8696B"/>
      </colorScale>
    </cfRule>
  </conditionalFormatting>
  <conditionalFormatting sqref="N30">
    <cfRule type="colorScale" priority="42">
      <colorScale>
        <cfvo type="min"/>
        <cfvo type="percentile" val="50"/>
        <cfvo type="max"/>
        <color rgb="FF63BE7B"/>
        <color rgb="FFFFEB84"/>
        <color rgb="FFF8696B"/>
      </colorScale>
    </cfRule>
  </conditionalFormatting>
  <conditionalFormatting sqref="O30">
    <cfRule type="colorScale" priority="41">
      <colorScale>
        <cfvo type="min"/>
        <cfvo type="percentile" val="50"/>
        <cfvo type="max"/>
        <color rgb="FF63BE7B"/>
        <color rgb="FFFFEB84"/>
        <color rgb="FFF8696B"/>
      </colorScale>
    </cfRule>
  </conditionalFormatting>
  <conditionalFormatting sqref="Y30">
    <cfRule type="colorScale" priority="40">
      <colorScale>
        <cfvo type="min"/>
        <cfvo type="percentile" val="50"/>
        <cfvo type="max"/>
        <color rgb="FF63BE7B"/>
        <color rgb="FFFFEB84"/>
        <color rgb="FFF8696B"/>
      </colorScale>
    </cfRule>
  </conditionalFormatting>
  <conditionalFormatting sqref="Z30">
    <cfRule type="colorScale" priority="39">
      <colorScale>
        <cfvo type="min"/>
        <cfvo type="percentile" val="50"/>
        <cfvo type="max"/>
        <color rgb="FF63BE7B"/>
        <color rgb="FFFFEB84"/>
        <color rgb="FFF8696B"/>
      </colorScale>
    </cfRule>
  </conditionalFormatting>
  <conditionalFormatting sqref="H30:O30">
    <cfRule type="colorScale" priority="38">
      <colorScale>
        <cfvo type="min"/>
        <cfvo type="percentile" val="50"/>
        <cfvo type="max"/>
        <color rgb="FF63BE7B"/>
        <color rgb="FFFFEB84"/>
        <color rgb="FFF8696B"/>
      </colorScale>
    </cfRule>
  </conditionalFormatting>
  <conditionalFormatting sqref="S30:Z30">
    <cfRule type="colorScale" priority="37">
      <colorScale>
        <cfvo type="min"/>
        <cfvo type="percentile" val="50"/>
        <cfvo type="max"/>
        <color rgb="FF63BE7B"/>
        <color rgb="FFFFEB84"/>
        <color rgb="FFF8696B"/>
      </colorScale>
    </cfRule>
  </conditionalFormatting>
  <conditionalFormatting sqref="H31:M31">
    <cfRule type="colorScale" priority="36">
      <colorScale>
        <cfvo type="min"/>
        <cfvo type="percentile" val="50"/>
        <cfvo type="max"/>
        <color rgb="FF63BE7B"/>
        <color rgb="FFFFEB84"/>
        <color rgb="FFF8696B"/>
      </colorScale>
    </cfRule>
  </conditionalFormatting>
  <conditionalFormatting sqref="S31:X31">
    <cfRule type="colorScale" priority="35">
      <colorScale>
        <cfvo type="min"/>
        <cfvo type="percentile" val="50"/>
        <cfvo type="max"/>
        <color rgb="FF63BE7B"/>
        <color rgb="FFFFEB84"/>
        <color rgb="FFF8696B"/>
      </colorScale>
    </cfRule>
  </conditionalFormatting>
  <conditionalFormatting sqref="N31">
    <cfRule type="colorScale" priority="34">
      <colorScale>
        <cfvo type="min"/>
        <cfvo type="percentile" val="50"/>
        <cfvo type="max"/>
        <color rgb="FF63BE7B"/>
        <color rgb="FFFFEB84"/>
        <color rgb="FFF8696B"/>
      </colorScale>
    </cfRule>
  </conditionalFormatting>
  <conditionalFormatting sqref="O31">
    <cfRule type="colorScale" priority="33">
      <colorScale>
        <cfvo type="min"/>
        <cfvo type="percentile" val="50"/>
        <cfvo type="max"/>
        <color rgb="FF63BE7B"/>
        <color rgb="FFFFEB84"/>
        <color rgb="FFF8696B"/>
      </colorScale>
    </cfRule>
  </conditionalFormatting>
  <conditionalFormatting sqref="Y31">
    <cfRule type="colorScale" priority="32">
      <colorScale>
        <cfvo type="min"/>
        <cfvo type="percentile" val="50"/>
        <cfvo type="max"/>
        <color rgb="FF63BE7B"/>
        <color rgb="FFFFEB84"/>
        <color rgb="FFF8696B"/>
      </colorScale>
    </cfRule>
  </conditionalFormatting>
  <conditionalFormatting sqref="Z31">
    <cfRule type="colorScale" priority="31">
      <colorScale>
        <cfvo type="min"/>
        <cfvo type="percentile" val="50"/>
        <cfvo type="max"/>
        <color rgb="FF63BE7B"/>
        <color rgb="FFFFEB84"/>
        <color rgb="FFF8696B"/>
      </colorScale>
    </cfRule>
  </conditionalFormatting>
  <conditionalFormatting sqref="H31:O31">
    <cfRule type="colorScale" priority="30">
      <colorScale>
        <cfvo type="min"/>
        <cfvo type="percentile" val="50"/>
        <cfvo type="max"/>
        <color rgb="FF63BE7B"/>
        <color rgb="FFFFEB84"/>
        <color rgb="FFF8696B"/>
      </colorScale>
    </cfRule>
  </conditionalFormatting>
  <conditionalFormatting sqref="S31:Z31">
    <cfRule type="colorScale" priority="29">
      <colorScale>
        <cfvo type="min"/>
        <cfvo type="percentile" val="50"/>
        <cfvo type="max"/>
        <color rgb="FF63BE7B"/>
        <color rgb="FFFFEB84"/>
        <color rgb="FFF8696B"/>
      </colorScale>
    </cfRule>
  </conditionalFormatting>
  <conditionalFormatting sqref="H13:M13">
    <cfRule type="colorScale" priority="28">
      <colorScale>
        <cfvo type="min"/>
        <cfvo type="percentile" val="50"/>
        <cfvo type="max"/>
        <color rgb="FF63BE7B"/>
        <color rgb="FFFFEB84"/>
        <color rgb="FFF8696B"/>
      </colorScale>
    </cfRule>
  </conditionalFormatting>
  <conditionalFormatting sqref="S13:X13">
    <cfRule type="colorScale" priority="27">
      <colorScale>
        <cfvo type="min"/>
        <cfvo type="percentile" val="50"/>
        <cfvo type="max"/>
        <color rgb="FF63BE7B"/>
        <color rgb="FFFFEB84"/>
        <color rgb="FFF8696B"/>
      </colorScale>
    </cfRule>
  </conditionalFormatting>
  <conditionalFormatting sqref="N13">
    <cfRule type="colorScale" priority="26">
      <colorScale>
        <cfvo type="min"/>
        <cfvo type="percentile" val="50"/>
        <cfvo type="max"/>
        <color rgb="FF63BE7B"/>
        <color rgb="FFFFEB84"/>
        <color rgb="FFF8696B"/>
      </colorScale>
    </cfRule>
  </conditionalFormatting>
  <conditionalFormatting sqref="O13">
    <cfRule type="colorScale" priority="25">
      <colorScale>
        <cfvo type="min"/>
        <cfvo type="percentile" val="50"/>
        <cfvo type="max"/>
        <color rgb="FF63BE7B"/>
        <color rgb="FFFFEB84"/>
        <color rgb="FFF8696B"/>
      </colorScale>
    </cfRule>
  </conditionalFormatting>
  <conditionalFormatting sqref="Y13">
    <cfRule type="colorScale" priority="24">
      <colorScale>
        <cfvo type="min"/>
        <cfvo type="percentile" val="50"/>
        <cfvo type="max"/>
        <color rgb="FF63BE7B"/>
        <color rgb="FFFFEB84"/>
        <color rgb="FFF8696B"/>
      </colorScale>
    </cfRule>
  </conditionalFormatting>
  <conditionalFormatting sqref="Z13">
    <cfRule type="colorScale" priority="23">
      <colorScale>
        <cfvo type="min"/>
        <cfvo type="percentile" val="50"/>
        <cfvo type="max"/>
        <color rgb="FF63BE7B"/>
        <color rgb="FFFFEB84"/>
        <color rgb="FFF8696B"/>
      </colorScale>
    </cfRule>
  </conditionalFormatting>
  <conditionalFormatting sqref="H13:O13">
    <cfRule type="colorScale" priority="22">
      <colorScale>
        <cfvo type="min"/>
        <cfvo type="percentile" val="50"/>
        <cfvo type="max"/>
        <color rgb="FF63BE7B"/>
        <color rgb="FFFFEB84"/>
        <color rgb="FFF8696B"/>
      </colorScale>
    </cfRule>
  </conditionalFormatting>
  <conditionalFormatting sqref="S13:Z13">
    <cfRule type="colorScale" priority="21">
      <colorScale>
        <cfvo type="min"/>
        <cfvo type="percentile" val="50"/>
        <cfvo type="max"/>
        <color rgb="FF63BE7B"/>
        <color rgb="FFFFEB84"/>
        <color rgb="FFF8696B"/>
      </colorScale>
    </cfRule>
  </conditionalFormatting>
  <conditionalFormatting sqref="H15:M15">
    <cfRule type="colorScale" priority="12">
      <colorScale>
        <cfvo type="min"/>
        <cfvo type="percentile" val="50"/>
        <cfvo type="max"/>
        <color rgb="FF63BE7B"/>
        <color rgb="FFFFEB84"/>
        <color rgb="FFF8696B"/>
      </colorScale>
    </cfRule>
  </conditionalFormatting>
  <conditionalFormatting sqref="S15:X15">
    <cfRule type="colorScale" priority="11">
      <colorScale>
        <cfvo type="min"/>
        <cfvo type="percentile" val="50"/>
        <cfvo type="max"/>
        <color rgb="FF63BE7B"/>
        <color rgb="FFFFEB84"/>
        <color rgb="FFF8696B"/>
      </colorScale>
    </cfRule>
  </conditionalFormatting>
  <conditionalFormatting sqref="N15">
    <cfRule type="colorScale" priority="10">
      <colorScale>
        <cfvo type="min"/>
        <cfvo type="percentile" val="50"/>
        <cfvo type="max"/>
        <color rgb="FF63BE7B"/>
        <color rgb="FFFFEB84"/>
        <color rgb="FFF8696B"/>
      </colorScale>
    </cfRule>
  </conditionalFormatting>
  <conditionalFormatting sqref="O15">
    <cfRule type="colorScale" priority="9">
      <colorScale>
        <cfvo type="min"/>
        <cfvo type="percentile" val="50"/>
        <cfvo type="max"/>
        <color rgb="FF63BE7B"/>
        <color rgb="FFFFEB84"/>
        <color rgb="FFF8696B"/>
      </colorScale>
    </cfRule>
  </conditionalFormatting>
  <conditionalFormatting sqref="Y15">
    <cfRule type="colorScale" priority="8">
      <colorScale>
        <cfvo type="min"/>
        <cfvo type="percentile" val="50"/>
        <cfvo type="max"/>
        <color rgb="FF63BE7B"/>
        <color rgb="FFFFEB84"/>
        <color rgb="FFF8696B"/>
      </colorScale>
    </cfRule>
  </conditionalFormatting>
  <conditionalFormatting sqref="Z15">
    <cfRule type="colorScale" priority="7">
      <colorScale>
        <cfvo type="min"/>
        <cfvo type="percentile" val="50"/>
        <cfvo type="max"/>
        <color rgb="FF63BE7B"/>
        <color rgb="FFFFEB84"/>
        <color rgb="FFF8696B"/>
      </colorScale>
    </cfRule>
  </conditionalFormatting>
  <conditionalFormatting sqref="H15:O15">
    <cfRule type="colorScale" priority="6">
      <colorScale>
        <cfvo type="min"/>
        <cfvo type="percentile" val="50"/>
        <cfvo type="max"/>
        <color rgb="FF63BE7B"/>
        <color rgb="FFFFEB84"/>
        <color rgb="FFF8696B"/>
      </colorScale>
    </cfRule>
  </conditionalFormatting>
  <conditionalFormatting sqref="S15:Z15">
    <cfRule type="colorScale" priority="5">
      <colorScale>
        <cfvo type="min"/>
        <cfvo type="percentile" val="50"/>
        <cfvo type="max"/>
        <color rgb="FF63BE7B"/>
        <color rgb="FFFFEB84"/>
        <color rgb="FFF8696B"/>
      </colorScale>
    </cfRule>
  </conditionalFormatting>
  <conditionalFormatting sqref="H5:O32">
    <cfRule type="colorScale" priority="4">
      <colorScale>
        <cfvo type="min"/>
        <cfvo type="percentile" val="50"/>
        <cfvo type="max"/>
        <color rgb="FF63BE7B"/>
        <color rgb="FFFFEB84"/>
        <color rgb="FFF8696B"/>
      </colorScale>
    </cfRule>
  </conditionalFormatting>
  <conditionalFormatting sqref="H5:AA5 H6:P32 R6:AA32 Q5:Q33">
    <cfRule type="colorScale" priority="2">
      <colorScale>
        <cfvo type="min"/>
        <cfvo type="percentile" val="50"/>
        <cfvo type="max"/>
        <color rgb="FF63BE7B"/>
        <color rgb="FFFFEB84"/>
        <color rgb="FFF8696B"/>
      </colorScale>
    </cfRule>
  </conditionalFormatting>
  <conditionalFormatting sqref="E5:AA5 E6:P32 R6:AA32 Q5:Q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5050"/>
  </sheetPr>
  <dimension ref="A1:AE94"/>
  <sheetViews>
    <sheetView zoomScale="85" zoomScaleNormal="85" workbookViewId="0">
      <selection activeCell="C10" sqref="C10"/>
    </sheetView>
  </sheetViews>
  <sheetFormatPr defaultColWidth="12.85546875" defaultRowHeight="15" x14ac:dyDescent="0.25"/>
  <cols>
    <col min="2" max="2" width="40.7109375" customWidth="1"/>
    <col min="3" max="3" width="10.42578125" customWidth="1"/>
    <col min="4" max="4" width="8.42578125" customWidth="1"/>
    <col min="5" max="5" width="8" customWidth="1"/>
    <col min="6" max="6" width="7.140625" customWidth="1"/>
    <col min="7" max="7" width="8.28515625" customWidth="1"/>
    <col min="8" max="8" width="7.42578125" customWidth="1"/>
    <col min="9" max="9" width="14.28515625" customWidth="1"/>
    <col min="14" max="14" width="16.5703125" customWidth="1"/>
  </cols>
  <sheetData>
    <row r="1" spans="1:30" ht="45" x14ac:dyDescent="0.25">
      <c r="A1" s="313" t="str">
        <f>CALC_Funding!B1</f>
        <v>Cordon 3_CAZ C</v>
      </c>
      <c r="K1" t="s">
        <v>329</v>
      </c>
      <c r="L1" s="42" t="str">
        <f>CALC_Funding!AI1</f>
        <v>Early Measures Fund</v>
      </c>
      <c r="M1" s="42" t="str">
        <f>CALC_Funding!AJ1</f>
        <v>OLEV Funding</v>
      </c>
      <c r="N1" s="42" t="str">
        <f>CALC_Funding!AK1</f>
        <v>Implementation Fund</v>
      </c>
      <c r="O1" s="42" t="str">
        <f>CALC_Funding!AL1</f>
        <v>Clean Air Fund</v>
      </c>
      <c r="P1" s="42" t="str">
        <f>CALC_Funding!AM1</f>
        <v>Other Government Funding</v>
      </c>
      <c r="Q1" s="42" t="str">
        <f>CALC_Funding!AN1</f>
        <v>Council Funded</v>
      </c>
      <c r="R1" s="42" t="str">
        <f>CALC_Funding!AO1</f>
        <v>Private Sector Funded</v>
      </c>
      <c r="S1" s="42" t="str">
        <f>CALC_Funding!AP1</f>
        <v>General Public Funded</v>
      </c>
      <c r="T1" s="21" t="s">
        <v>178</v>
      </c>
      <c r="V1" s="21" t="s">
        <v>582</v>
      </c>
    </row>
    <row r="2" spans="1:30" x14ac:dyDescent="0.25">
      <c r="B2" t="s">
        <v>568</v>
      </c>
      <c r="J2" s="361">
        <f>SUM(J4:J28)</f>
        <v>55.616464320000006</v>
      </c>
      <c r="L2" s="361">
        <f>SUM(L4:L28)</f>
        <v>1.9521000000000002</v>
      </c>
      <c r="M2" s="361">
        <f t="shared" ref="M2:S2" si="0">SUM(M4:M28)</f>
        <v>1.9124999999999999</v>
      </c>
      <c r="N2" s="361">
        <f t="shared" si="0"/>
        <v>28.14891432000001</v>
      </c>
      <c r="O2" s="361">
        <f t="shared" si="0"/>
        <v>15.045449999999999</v>
      </c>
      <c r="P2" s="361">
        <f t="shared" si="0"/>
        <v>3</v>
      </c>
      <c r="Q2" s="361">
        <f t="shared" si="0"/>
        <v>0.26250000000000001</v>
      </c>
      <c r="R2" s="361">
        <f t="shared" si="0"/>
        <v>5.2949999999999999</v>
      </c>
      <c r="S2" s="361">
        <f t="shared" si="0"/>
        <v>0</v>
      </c>
      <c r="T2" s="328">
        <f>SUM(L2:S2)</f>
        <v>55.61646432000002</v>
      </c>
    </row>
    <row r="3" spans="1:30" ht="15.75" thickBot="1" x14ac:dyDescent="0.3">
      <c r="B3" t="s">
        <v>567</v>
      </c>
      <c r="C3" s="336">
        <f>CALC_Funding!L5</f>
        <v>2019</v>
      </c>
      <c r="D3" s="336">
        <f>CALC_Funding!M5</f>
        <v>2020</v>
      </c>
      <c r="E3" s="336">
        <f>CALC_Funding!N5</f>
        <v>2021</v>
      </c>
      <c r="F3" s="336">
        <f>CALC_Funding!O5</f>
        <v>2022</v>
      </c>
      <c r="G3" s="336">
        <f>CALC_Funding!P5</f>
        <v>2023</v>
      </c>
      <c r="H3" s="336">
        <f>CALC_Funding!Q5</f>
        <v>2024</v>
      </c>
      <c r="I3" s="336" t="str">
        <f>CALC_Funding!R5</f>
        <v>2025 &amp; beyond</v>
      </c>
      <c r="J3" t="str">
        <f>CALC_Funding!S5</f>
        <v>Total Cost (undiscounted)</v>
      </c>
      <c r="L3" s="37">
        <v>0</v>
      </c>
      <c r="M3" s="37">
        <v>0</v>
      </c>
      <c r="N3" s="37">
        <v>0</v>
      </c>
      <c r="O3" s="37">
        <v>1</v>
      </c>
      <c r="P3" s="37">
        <v>0</v>
      </c>
      <c r="Q3" s="37">
        <v>0</v>
      </c>
      <c r="R3" s="37">
        <v>0</v>
      </c>
      <c r="S3" s="37">
        <v>0</v>
      </c>
      <c r="T3" s="21"/>
      <c r="W3" s="40">
        <f>C3</f>
        <v>2019</v>
      </c>
      <c r="X3" s="40">
        <f t="shared" ref="X3:AC3" si="1">D3</f>
        <v>2020</v>
      </c>
      <c r="Y3" s="40">
        <f t="shared" si="1"/>
        <v>2021</v>
      </c>
      <c r="Z3" s="40">
        <f t="shared" si="1"/>
        <v>2022</v>
      </c>
      <c r="AA3" s="40">
        <f t="shared" si="1"/>
        <v>2023</v>
      </c>
      <c r="AB3" s="40">
        <f t="shared" si="1"/>
        <v>2024</v>
      </c>
      <c r="AC3" s="40" t="str">
        <f t="shared" si="1"/>
        <v>2025 &amp; beyond</v>
      </c>
      <c r="AD3" t="s">
        <v>178</v>
      </c>
    </row>
    <row r="4" spans="1:30" x14ac:dyDescent="0.25">
      <c r="A4" s="284" t="s">
        <v>563</v>
      </c>
      <c r="B4" s="339" t="s">
        <v>537</v>
      </c>
      <c r="C4" s="340">
        <f>SUMIF(CALC_Funding!$H:$H,$B4,CALC_Funding!L:L)/INP_Assumptions!$C$19</f>
        <v>0</v>
      </c>
      <c r="D4" s="341">
        <f>SUMIF(CALC_Funding!$H:$H,$B4,CALC_Funding!M:M)/INP_Assumptions!$C$19</f>
        <v>2.7679999999999998</v>
      </c>
      <c r="E4" s="341">
        <f>SUMIF(CALC_Funding!$H:$H,$B4,CALC_Funding!N:N)/INP_Assumptions!$C$19</f>
        <v>0</v>
      </c>
      <c r="F4" s="341">
        <f>SUMIF(CALC_Funding!$H:$H,$B4,CALC_Funding!O:O)/INP_Assumptions!$C$19</f>
        <v>0</v>
      </c>
      <c r="G4" s="341">
        <f>SUMIF(CALC_Funding!$H:$H,$B4,CALC_Funding!P:P)/INP_Assumptions!$C$19</f>
        <v>0</v>
      </c>
      <c r="H4" s="341">
        <f>SUMIF(CALC_Funding!$H:$H,$B4,CALC_Funding!Q:Q)/INP_Assumptions!$C$19</f>
        <v>0</v>
      </c>
      <c r="I4" s="341">
        <f>SUMIF(CALC_Funding!$H:$H,$B4,CALC_Funding!R:R)/INP_Assumptions!$C$19</f>
        <v>0</v>
      </c>
      <c r="J4" s="342">
        <f>SUMIF(CALC_Funding!$H:$H,$B4,CALC_Funding!S:S)/INP_Assumptions!$C$19</f>
        <v>2.7679999999999998</v>
      </c>
      <c r="K4" s="78"/>
      <c r="L4" s="82">
        <f>SUMIF(CALC_Funding!$H:$H,$B4,CALC_Funding!AI:AI)/INP_Assumptions!$C$19</f>
        <v>0</v>
      </c>
      <c r="M4" s="83">
        <f>SUMIF(CALC_Funding!$H:$H,$B4,CALC_Funding!AJ:AJ)/INP_Assumptions!$C$19</f>
        <v>0</v>
      </c>
      <c r="N4" s="83">
        <f>SUMIF(CALC_Funding!$H:$H,$B4,CALC_Funding!AK:AK)/INP_Assumptions!$C$19</f>
        <v>2.7679999999999998</v>
      </c>
      <c r="O4" s="83">
        <f>SUMIF(CALC_Funding!$H:$H,$B4,CALC_Funding!AL:AL)/INP_Assumptions!$C$19</f>
        <v>0</v>
      </c>
      <c r="P4" s="83">
        <f>SUMIF(CALC_Funding!$H:$H,$B4,CALC_Funding!AM:AM)/INP_Assumptions!$C$19</f>
        <v>0</v>
      </c>
      <c r="Q4" s="83">
        <f>SUMIF(CALC_Funding!$H:$H,$B4,CALC_Funding!AN:AN)/INP_Assumptions!$C$19</f>
        <v>0</v>
      </c>
      <c r="R4" s="83">
        <f>SUMIF(CALC_Funding!$H:$H,$B4,CALC_Funding!AO:AO)/INP_Assumptions!$C$19</f>
        <v>0</v>
      </c>
      <c r="S4" s="337">
        <f>SUMIF(CALC_Funding!$H:$H,$B4,CALC_Funding!AP:AP)/INP_Assumptions!$C$19</f>
        <v>0</v>
      </c>
      <c r="T4" s="328">
        <f t="shared" ref="T4:T30" si="2">SUM(L4:S4)</f>
        <v>2.7679999999999998</v>
      </c>
      <c r="U4" s="80"/>
      <c r="V4" s="335">
        <f>SUMPRODUCT($L$3:$S$3,L4:S4)</f>
        <v>0</v>
      </c>
      <c r="W4" s="363">
        <f>$V4*(C4/$J4)</f>
        <v>0</v>
      </c>
      <c r="X4" s="364">
        <f t="shared" ref="X4:AC4" si="3">$V4*(D4/$J4)</f>
        <v>0</v>
      </c>
      <c r="Y4" s="364">
        <f t="shared" si="3"/>
        <v>0</v>
      </c>
      <c r="Z4" s="364">
        <f t="shared" si="3"/>
        <v>0</v>
      </c>
      <c r="AA4" s="364">
        <f t="shared" si="3"/>
        <v>0</v>
      </c>
      <c r="AB4" s="364">
        <f t="shared" si="3"/>
        <v>0</v>
      </c>
      <c r="AC4" s="365">
        <f t="shared" si="3"/>
        <v>0</v>
      </c>
      <c r="AD4" s="362">
        <f>SUM(W4:AC4)</f>
        <v>0</v>
      </c>
    </row>
    <row r="5" spans="1:30" x14ac:dyDescent="0.25">
      <c r="A5" s="284" t="s">
        <v>564</v>
      </c>
      <c r="B5" s="339" t="s">
        <v>538</v>
      </c>
      <c r="C5" s="509">
        <f>SUMIF(CALC_Funding!$H:$H,$B5,CALC_Funding!L:L)/INP_Assumptions!$C$19</f>
        <v>0</v>
      </c>
      <c r="D5" s="344">
        <f>SUMIF(CALC_Funding!$H:$H,$B5,CALC_Funding!M:M)/INP_Assumptions!$C$19</f>
        <v>0</v>
      </c>
      <c r="E5" s="344">
        <f>SUMIF(CALC_Funding!$H:$H,$B5,CALC_Funding!N:N)/INP_Assumptions!$C$19</f>
        <v>0.216</v>
      </c>
      <c r="F5" s="344">
        <f>SUMIF(CALC_Funding!$H:$H,$B5,CALC_Funding!O:O)/INP_Assumptions!$C$19</f>
        <v>0.216</v>
      </c>
      <c r="G5" s="344">
        <f>SUMIF(CALC_Funding!$H:$H,$B5,CALC_Funding!P:P)/INP_Assumptions!$C$19</f>
        <v>0.216</v>
      </c>
      <c r="H5" s="344">
        <f>SUMIF(CALC_Funding!$H:$H,$B5,CALC_Funding!Q:Q)/INP_Assumptions!$C$19</f>
        <v>0.216</v>
      </c>
      <c r="I5" s="344">
        <f>SUMIF(CALC_Funding!$H:$H,$B5,CALC_Funding!R:R)/INP_Assumptions!$C$19</f>
        <v>0</v>
      </c>
      <c r="J5" s="345">
        <f>SUMIF(CALC_Funding!$H:$H,$B5,CALC_Funding!S:S)/INP_Assumptions!$C$19</f>
        <v>0.86399999999999999</v>
      </c>
      <c r="K5" s="78"/>
      <c r="L5" s="84">
        <f>SUMIF(CALC_Funding!$H:$H,$B5,CALC_Funding!AI:AI)/INP_Assumptions!$C$19</f>
        <v>0</v>
      </c>
      <c r="M5" s="81">
        <f>SUMIF(CALC_Funding!$H:$H,$B5,CALC_Funding!AJ:AJ)/INP_Assumptions!$C$19</f>
        <v>0</v>
      </c>
      <c r="N5" s="81">
        <f>SUMIF(CALC_Funding!$H:$H,$B5,CALC_Funding!AK:AK)/INP_Assumptions!$C$19</f>
        <v>0.86399999999999999</v>
      </c>
      <c r="O5" s="81">
        <f>SUMIF(CALC_Funding!$H:$H,$B5,CALC_Funding!AL:AL)/INP_Assumptions!$C$19</f>
        <v>0</v>
      </c>
      <c r="P5" s="81">
        <f>SUMIF(CALC_Funding!$H:$H,$B5,CALC_Funding!AM:AM)/INP_Assumptions!$C$19</f>
        <v>0</v>
      </c>
      <c r="Q5" s="81">
        <f>SUMIF(CALC_Funding!$H:$H,$B5,CALC_Funding!AN:AN)/INP_Assumptions!$C$19</f>
        <v>0</v>
      </c>
      <c r="R5" s="81">
        <f>SUMIF(CALC_Funding!$H:$H,$B5,CALC_Funding!AO:AO)/INP_Assumptions!$C$19</f>
        <v>0</v>
      </c>
      <c r="S5" s="338">
        <f>SUMIF(CALC_Funding!$H:$H,$B5,CALC_Funding!AP:AP)/INP_Assumptions!$C$19</f>
        <v>0</v>
      </c>
      <c r="T5" s="328">
        <f t="shared" si="2"/>
        <v>0.86399999999999999</v>
      </c>
      <c r="U5" s="80"/>
      <c r="V5" s="335">
        <f t="shared" ref="V5:V30" si="4">SUMPRODUCT($L$3:$S$3,L5:S5)</f>
        <v>0</v>
      </c>
      <c r="W5" s="366">
        <f t="shared" ref="W5:W30" si="5">$V5*(C5/$J5)</f>
        <v>0</v>
      </c>
      <c r="X5" s="367">
        <f t="shared" ref="X5:X30" si="6">$V5*(D5/$J5)</f>
        <v>0</v>
      </c>
      <c r="Y5" s="367">
        <f t="shared" ref="Y5:Y30" si="7">$V5*(E5/$J5)</f>
        <v>0</v>
      </c>
      <c r="Z5" s="367">
        <f t="shared" ref="Z5:Z30" si="8">$V5*(F5/$J5)</f>
        <v>0</v>
      </c>
      <c r="AA5" s="367">
        <f t="shared" ref="AA5:AA30" si="9">$V5*(G5/$J5)</f>
        <v>0</v>
      </c>
      <c r="AB5" s="367">
        <f t="shared" ref="AB5:AB30" si="10">$V5*(H5/$J5)</f>
        <v>0</v>
      </c>
      <c r="AC5" s="368">
        <f t="shared" ref="AC5:AC30" si="11">$V5*(I5/$J5)</f>
        <v>0</v>
      </c>
      <c r="AD5" s="362">
        <f t="shared" ref="AD5:AD30" si="12">SUM(W5:AC5)</f>
        <v>0</v>
      </c>
    </row>
    <row r="6" spans="1:30" x14ac:dyDescent="0.25">
      <c r="A6" s="284" t="s">
        <v>563</v>
      </c>
      <c r="B6" s="284" t="s">
        <v>540</v>
      </c>
      <c r="C6" s="343">
        <f>SUMIF(CALC_Funding!$H:$H,$B6,CALC_Funding!L:L)/INP_Assumptions!$C$19</f>
        <v>1.2637499999999999</v>
      </c>
      <c r="D6" s="344">
        <f>SUMIF(CALC_Funding!$H:$H,$B6,CALC_Funding!M:M)/INP_Assumptions!$C$19</f>
        <v>1.5575000000000001</v>
      </c>
      <c r="E6" s="344">
        <f>SUMIF(CALC_Funding!$H:$H,$B6,CALC_Funding!N:N)/INP_Assumptions!$C$19</f>
        <v>0.77875000000000005</v>
      </c>
      <c r="F6" s="344">
        <f>SUMIF(CALC_Funding!$H:$H,$B6,CALC_Funding!O:O)/INP_Assumptions!$C$19</f>
        <v>0</v>
      </c>
      <c r="G6" s="344">
        <f>SUMIF(CALC_Funding!$H:$H,$B6,CALC_Funding!P:P)/INP_Assumptions!$C$19</f>
        <v>0</v>
      </c>
      <c r="H6" s="344">
        <f>SUMIF(CALC_Funding!$H:$H,$B6,CALC_Funding!Q:Q)/INP_Assumptions!$C$19</f>
        <v>0</v>
      </c>
      <c r="I6" s="344">
        <f>SUMIF(CALC_Funding!$H:$H,$B6,CALC_Funding!R:R)/INP_Assumptions!$C$19</f>
        <v>0</v>
      </c>
      <c r="J6" s="345">
        <f>SUMIF(CALC_Funding!$H:$H,$B6,CALC_Funding!S:S)/INP_Assumptions!$C$19</f>
        <v>3.6</v>
      </c>
      <c r="K6" s="78"/>
      <c r="L6" s="84">
        <f>SUMIF(CALC_Funding!$H:$H,$B6,CALC_Funding!AI:AI)/INP_Assumptions!$C$19</f>
        <v>0.48499999999999999</v>
      </c>
      <c r="M6" s="81">
        <f>SUMIF(CALC_Funding!$H:$H,$B6,CALC_Funding!AJ:AJ)/INP_Assumptions!$C$19</f>
        <v>0</v>
      </c>
      <c r="N6" s="81">
        <f>SUMIF(CALC_Funding!$H:$H,$B6,CALC_Funding!AK:AK)/INP_Assumptions!$C$19</f>
        <v>1.4</v>
      </c>
      <c r="O6" s="81">
        <f>SUMIF(CALC_Funding!$H:$H,$B6,CALC_Funding!AL:AL)/INP_Assumptions!$C$19</f>
        <v>1.7150000000000001</v>
      </c>
      <c r="P6" s="81">
        <f>SUMIF(CALC_Funding!$H:$H,$B6,CALC_Funding!AM:AM)/INP_Assumptions!$C$19</f>
        <v>0</v>
      </c>
      <c r="Q6" s="81">
        <f>SUMIF(CALC_Funding!$H:$H,$B6,CALC_Funding!AN:AN)/INP_Assumptions!$C$19</f>
        <v>0</v>
      </c>
      <c r="R6" s="81">
        <f>SUMIF(CALC_Funding!$H:$H,$B6,CALC_Funding!AO:AO)/INP_Assumptions!$C$19</f>
        <v>0</v>
      </c>
      <c r="S6" s="338">
        <f>SUMIF(CALC_Funding!$H:$H,$B6,CALC_Funding!AP:AP)/INP_Assumptions!$C$19</f>
        <v>0</v>
      </c>
      <c r="T6" s="328">
        <f t="shared" si="2"/>
        <v>3.5999999999999996</v>
      </c>
      <c r="U6" s="80"/>
      <c r="V6" s="335">
        <f t="shared" si="4"/>
        <v>1.7150000000000001</v>
      </c>
      <c r="W6" s="366">
        <f t="shared" si="5"/>
        <v>0.6020364583333333</v>
      </c>
      <c r="X6" s="367">
        <f t="shared" si="6"/>
        <v>0.74197569444444456</v>
      </c>
      <c r="Y6" s="367">
        <f t="shared" si="7"/>
        <v>0.37098784722222228</v>
      </c>
      <c r="Z6" s="367">
        <f t="shared" si="8"/>
        <v>0</v>
      </c>
      <c r="AA6" s="367">
        <f t="shared" si="9"/>
        <v>0</v>
      </c>
      <c r="AB6" s="367">
        <f t="shared" si="10"/>
        <v>0</v>
      </c>
      <c r="AC6" s="368">
        <f t="shared" si="11"/>
        <v>0</v>
      </c>
      <c r="AD6" s="362">
        <f t="shared" si="12"/>
        <v>1.7150000000000001</v>
      </c>
    </row>
    <row r="7" spans="1:30" x14ac:dyDescent="0.25">
      <c r="A7" s="284" t="s">
        <v>565</v>
      </c>
      <c r="B7" s="284" t="s">
        <v>541</v>
      </c>
      <c r="C7" s="343">
        <f>SUMIF(CALC_Funding!$H:$H,$B7,CALC_Funding!L:L)/INP_Assumptions!$C$19</f>
        <v>2.9125000000000002E-2</v>
      </c>
      <c r="D7" s="344">
        <f>SUMIF(CALC_Funding!$H:$H,$B7,CALC_Funding!M:M)/INP_Assumptions!$C$19</f>
        <v>0.10825</v>
      </c>
      <c r="E7" s="344">
        <f>SUMIF(CALC_Funding!$H:$H,$B7,CALC_Funding!N:N)/INP_Assumptions!$C$19</f>
        <v>2.9125000000000002E-2</v>
      </c>
      <c r="F7" s="344">
        <f>SUMIF(CALC_Funding!$H:$H,$B7,CALC_Funding!O:O)/INP_Assumptions!$C$19</f>
        <v>0</v>
      </c>
      <c r="G7" s="344">
        <f>SUMIF(CALC_Funding!$H:$H,$B7,CALC_Funding!P:P)/INP_Assumptions!$C$19</f>
        <v>0</v>
      </c>
      <c r="H7" s="344">
        <f>SUMIF(CALC_Funding!$H:$H,$B7,CALC_Funding!Q:Q)/INP_Assumptions!$C$19</f>
        <v>0</v>
      </c>
      <c r="I7" s="344">
        <f>SUMIF(CALC_Funding!$H:$H,$B7,CALC_Funding!R:R)/INP_Assumptions!$C$19</f>
        <v>0</v>
      </c>
      <c r="J7" s="345">
        <f>SUMIF(CALC_Funding!$H:$H,$B7,CALC_Funding!S:S)/INP_Assumptions!$C$19</f>
        <v>0.16650000000000001</v>
      </c>
      <c r="K7" s="78"/>
      <c r="L7" s="84">
        <f>SUMIF(CALC_Funding!$H:$H,$B7,CALC_Funding!AI:AI)/INP_Assumptions!$C$19</f>
        <v>0</v>
      </c>
      <c r="M7" s="81">
        <f>SUMIF(CALC_Funding!$H:$H,$B7,CALC_Funding!AJ:AJ)/INP_Assumptions!$C$19</f>
        <v>0</v>
      </c>
      <c r="N7" s="81">
        <f>SUMIF(CALC_Funding!$H:$H,$B7,CALC_Funding!AK:AK)/INP_Assumptions!$C$19</f>
        <v>0.05</v>
      </c>
      <c r="O7" s="81">
        <f>SUMIF(CALC_Funding!$H:$H,$B7,CALC_Funding!AL:AL)/INP_Assumptions!$C$19</f>
        <v>0.11650000000000001</v>
      </c>
      <c r="P7" s="81">
        <f>SUMIF(CALC_Funding!$H:$H,$B7,CALC_Funding!AM:AM)/INP_Assumptions!$C$19</f>
        <v>0</v>
      </c>
      <c r="Q7" s="81">
        <f>SUMIF(CALC_Funding!$H:$H,$B7,CALC_Funding!AN:AN)/INP_Assumptions!$C$19</f>
        <v>0</v>
      </c>
      <c r="R7" s="81">
        <f>SUMIF(CALC_Funding!$H:$H,$B7,CALC_Funding!AO:AO)/INP_Assumptions!$C$19</f>
        <v>0</v>
      </c>
      <c r="S7" s="338">
        <f>SUMIF(CALC_Funding!$H:$H,$B7,CALC_Funding!AP:AP)/INP_Assumptions!$C$19</f>
        <v>0</v>
      </c>
      <c r="T7" s="328">
        <f t="shared" si="2"/>
        <v>0.16650000000000001</v>
      </c>
      <c r="U7" s="80"/>
      <c r="V7" s="335">
        <f t="shared" si="4"/>
        <v>0.11650000000000001</v>
      </c>
      <c r="W7" s="366">
        <f t="shared" si="5"/>
        <v>2.0378753753753753E-2</v>
      </c>
      <c r="X7" s="367">
        <f t="shared" si="6"/>
        <v>7.5742492492492486E-2</v>
      </c>
      <c r="Y7" s="367">
        <f t="shared" si="7"/>
        <v>2.0378753753753753E-2</v>
      </c>
      <c r="Z7" s="367">
        <f t="shared" si="8"/>
        <v>0</v>
      </c>
      <c r="AA7" s="367">
        <f t="shared" si="9"/>
        <v>0</v>
      </c>
      <c r="AB7" s="367">
        <f t="shared" si="10"/>
        <v>0</v>
      </c>
      <c r="AC7" s="368">
        <f t="shared" si="11"/>
        <v>0</v>
      </c>
      <c r="AD7" s="362">
        <f t="shared" si="12"/>
        <v>0.11649999999999999</v>
      </c>
    </row>
    <row r="8" spans="1:30" x14ac:dyDescent="0.25">
      <c r="A8" s="284" t="s">
        <v>563</v>
      </c>
      <c r="B8" s="339" t="s">
        <v>542</v>
      </c>
      <c r="C8" s="767">
        <f>SUMIF(CALC_Funding!$H:$H,$B8,CALC_Funding!L:L)/INP_Assumptions!$C$19</f>
        <v>6.0970000000000004</v>
      </c>
      <c r="D8" s="768">
        <f>SUMIF(CALC_Funding!$H:$H,$B8,CALC_Funding!M:M)/INP_Assumptions!$C$19</f>
        <v>3.097</v>
      </c>
      <c r="E8" s="768">
        <f>SUMIF(CALC_Funding!$H:$H,$B8,CALC_Funding!N:N)/INP_Assumptions!$C$19</f>
        <v>0</v>
      </c>
      <c r="F8" s="344">
        <f>SUMIF(CALC_Funding!$H:$H,$B8,CALC_Funding!O:O)/INP_Assumptions!$C$19</f>
        <v>0</v>
      </c>
      <c r="G8" s="344">
        <f>SUMIF(CALC_Funding!$H:$H,$B8,CALC_Funding!P:P)/INP_Assumptions!$C$19</f>
        <v>0</v>
      </c>
      <c r="H8" s="344">
        <f>SUMIF(CALC_Funding!$H:$H,$B8,CALC_Funding!Q:Q)/INP_Assumptions!$C$19</f>
        <v>0</v>
      </c>
      <c r="I8" s="344">
        <f>SUMIF(CALC_Funding!$H:$H,$B8,CALC_Funding!R:R)/INP_Assumptions!$C$19</f>
        <v>0</v>
      </c>
      <c r="J8" s="345">
        <f>SUMIF(CALC_Funding!$H:$H,$B8,CALC_Funding!S:S)/INP_Assumptions!$C$19</f>
        <v>9.1940000000000008</v>
      </c>
      <c r="K8" s="78"/>
      <c r="L8" s="84">
        <f>SUMIF(CALC_Funding!$H:$H,$B8,CALC_Funding!AI:AI)/INP_Assumptions!$C$19</f>
        <v>0</v>
      </c>
      <c r="M8" s="81">
        <f>SUMIF(CALC_Funding!$H:$H,$B8,CALC_Funding!AJ:AJ)/INP_Assumptions!$C$19</f>
        <v>0</v>
      </c>
      <c r="N8" s="81">
        <f>SUMIF(CALC_Funding!$H:$H,$B8,CALC_Funding!AK:AK)/INP_Assumptions!$C$19</f>
        <v>1.3740000000000001</v>
      </c>
      <c r="O8" s="81">
        <f>SUMIF(CALC_Funding!$H:$H,$B8,CALC_Funding!AL:AL)/INP_Assumptions!$C$19</f>
        <v>0</v>
      </c>
      <c r="P8" s="81">
        <f>SUMIF(CALC_Funding!$H:$H,$B8,CALC_Funding!AM:AM)/INP_Assumptions!$C$19</f>
        <v>3</v>
      </c>
      <c r="Q8" s="81">
        <f>SUMIF(CALC_Funding!$H:$H,$B8,CALC_Funding!AN:AN)/INP_Assumptions!$C$19</f>
        <v>0</v>
      </c>
      <c r="R8" s="81">
        <f>SUMIF(CALC_Funding!$H:$H,$B8,CALC_Funding!AO:AO)/INP_Assumptions!$C$19</f>
        <v>4.82</v>
      </c>
      <c r="S8" s="338">
        <f>SUMIF(CALC_Funding!$H:$H,$B8,CALC_Funding!AP:AP)/INP_Assumptions!$C$19</f>
        <v>0</v>
      </c>
      <c r="T8" s="328">
        <f t="shared" si="2"/>
        <v>9.1940000000000008</v>
      </c>
      <c r="U8" s="80"/>
      <c r="V8" s="335">
        <f t="shared" si="4"/>
        <v>0</v>
      </c>
      <c r="W8" s="366">
        <f t="shared" si="5"/>
        <v>0</v>
      </c>
      <c r="X8" s="367">
        <f t="shared" si="6"/>
        <v>0</v>
      </c>
      <c r="Y8" s="367">
        <f t="shared" si="7"/>
        <v>0</v>
      </c>
      <c r="Z8" s="367">
        <f t="shared" si="8"/>
        <v>0</v>
      </c>
      <c r="AA8" s="367">
        <f t="shared" si="9"/>
        <v>0</v>
      </c>
      <c r="AB8" s="367">
        <f t="shared" si="10"/>
        <v>0</v>
      </c>
      <c r="AC8" s="368">
        <f t="shared" si="11"/>
        <v>0</v>
      </c>
      <c r="AD8" s="362">
        <f t="shared" si="12"/>
        <v>0</v>
      </c>
    </row>
    <row r="9" spans="1:30" x14ac:dyDescent="0.25">
      <c r="A9" s="284" t="s">
        <v>565</v>
      </c>
      <c r="B9" s="339" t="s">
        <v>543</v>
      </c>
      <c r="C9" s="767">
        <f>SUMIF(CALC_Funding!$H:$H,$B9,CALC_Funding!L:L)/INP_Assumptions!$C$19</f>
        <v>0.45900000000000002</v>
      </c>
      <c r="D9" s="768">
        <f>SUMIF(CALC_Funding!$H:$H,$B9,CALC_Funding!M:M)/INP_Assumptions!$C$19</f>
        <v>0.45900000000000002</v>
      </c>
      <c r="E9" s="768">
        <f>SUMIF(CALC_Funding!$H:$H,$B9,CALC_Funding!N:N)/INP_Assumptions!$C$19</f>
        <v>0</v>
      </c>
      <c r="F9" s="344">
        <f>SUMIF(CALC_Funding!$H:$H,$B9,CALC_Funding!O:O)/INP_Assumptions!$C$19</f>
        <v>0</v>
      </c>
      <c r="G9" s="344">
        <f>SUMIF(CALC_Funding!$H:$H,$B9,CALC_Funding!P:P)/INP_Assumptions!$C$19</f>
        <v>0</v>
      </c>
      <c r="H9" s="344">
        <f>SUMIF(CALC_Funding!$H:$H,$B9,CALC_Funding!Q:Q)/INP_Assumptions!$C$19</f>
        <v>0</v>
      </c>
      <c r="I9" s="344">
        <f>SUMIF(CALC_Funding!$H:$H,$B9,CALC_Funding!R:R)/INP_Assumptions!$C$19</f>
        <v>0</v>
      </c>
      <c r="J9" s="345">
        <f>SUMIF(CALC_Funding!$H:$H,$B9,CALC_Funding!S:S)/INP_Assumptions!$C$19</f>
        <v>0.91800000000000004</v>
      </c>
      <c r="K9" s="78"/>
      <c r="L9" s="84">
        <f>SUMIF(CALC_Funding!$H:$H,$B9,CALC_Funding!AI:AI)/INP_Assumptions!$C$19</f>
        <v>0</v>
      </c>
      <c r="M9" s="81">
        <f>SUMIF(CALC_Funding!$H:$H,$B9,CALC_Funding!AJ:AJ)/INP_Assumptions!$C$19</f>
        <v>0</v>
      </c>
      <c r="N9" s="81">
        <f>SUMIF(CALC_Funding!$H:$H,$B9,CALC_Funding!AK:AK)/INP_Assumptions!$C$19</f>
        <v>0.91800000000000004</v>
      </c>
      <c r="O9" s="81">
        <f>SUMIF(CALC_Funding!$H:$H,$B9,CALC_Funding!AL:AL)/INP_Assumptions!$C$19</f>
        <v>0</v>
      </c>
      <c r="P9" s="81">
        <f>SUMIF(CALC_Funding!$H:$H,$B9,CALC_Funding!AM:AM)/INP_Assumptions!$C$19</f>
        <v>0</v>
      </c>
      <c r="Q9" s="81">
        <f>SUMIF(CALC_Funding!$H:$H,$B9,CALC_Funding!AN:AN)/INP_Assumptions!$C$19</f>
        <v>0</v>
      </c>
      <c r="R9" s="81">
        <f>SUMIF(CALC_Funding!$H:$H,$B9,CALC_Funding!AO:AO)/INP_Assumptions!$C$19</f>
        <v>0</v>
      </c>
      <c r="S9" s="338">
        <f>SUMIF(CALC_Funding!$H:$H,$B9,CALC_Funding!AP:AP)/INP_Assumptions!$C$19</f>
        <v>0</v>
      </c>
      <c r="T9" s="328">
        <f t="shared" si="2"/>
        <v>0.91800000000000004</v>
      </c>
      <c r="U9" s="80"/>
      <c r="V9" s="335">
        <f t="shared" si="4"/>
        <v>0</v>
      </c>
      <c r="W9" s="366">
        <f t="shared" si="5"/>
        <v>0</v>
      </c>
      <c r="X9" s="367">
        <f t="shared" si="6"/>
        <v>0</v>
      </c>
      <c r="Y9" s="367">
        <f t="shared" si="7"/>
        <v>0</v>
      </c>
      <c r="Z9" s="367">
        <f t="shared" si="8"/>
        <v>0</v>
      </c>
      <c r="AA9" s="367">
        <f t="shared" si="9"/>
        <v>0</v>
      </c>
      <c r="AB9" s="367">
        <f t="shared" si="10"/>
        <v>0</v>
      </c>
      <c r="AC9" s="368">
        <f t="shared" si="11"/>
        <v>0</v>
      </c>
      <c r="AD9" s="362">
        <f t="shared" si="12"/>
        <v>0</v>
      </c>
    </row>
    <row r="10" spans="1:30" x14ac:dyDescent="0.25">
      <c r="A10" s="284" t="s">
        <v>563</v>
      </c>
      <c r="B10" s="339" t="s">
        <v>544</v>
      </c>
      <c r="C10" s="343">
        <f>SUMIF(CALC_Funding!$H:$H,$B10,CALC_Funding!L:L)/INP_Assumptions!$C$19</f>
        <v>0.41</v>
      </c>
      <c r="D10" s="344">
        <f>SUMIF(CALC_Funding!$H:$H,$B10,CALC_Funding!M:M)/INP_Assumptions!$C$19</f>
        <v>1.23</v>
      </c>
      <c r="E10" s="344">
        <f>SUMIF(CALC_Funding!$H:$H,$B10,CALC_Funding!N:N)/INP_Assumptions!$C$19</f>
        <v>0.41</v>
      </c>
      <c r="F10" s="344">
        <f>SUMIF(CALC_Funding!$H:$H,$B10,CALC_Funding!O:O)/INP_Assumptions!$C$19</f>
        <v>0</v>
      </c>
      <c r="G10" s="344">
        <f>SUMIF(CALC_Funding!$H:$H,$B10,CALC_Funding!P:P)/INP_Assumptions!$C$19</f>
        <v>0</v>
      </c>
      <c r="H10" s="344">
        <f>SUMIF(CALC_Funding!$H:$H,$B10,CALC_Funding!Q:Q)/INP_Assumptions!$C$19</f>
        <v>0</v>
      </c>
      <c r="I10" s="344">
        <f>SUMIF(CALC_Funding!$H:$H,$B10,CALC_Funding!R:R)/INP_Assumptions!$C$19</f>
        <v>0</v>
      </c>
      <c r="J10" s="345">
        <f>SUMIF(CALC_Funding!$H:$H,$B10,CALC_Funding!S:S)/INP_Assumptions!$C$19</f>
        <v>2.0499999999999998</v>
      </c>
      <c r="K10" s="78"/>
      <c r="L10" s="84">
        <f>SUMIF(CALC_Funding!$H:$H,$B10,CALC_Funding!AI:AI)/INP_Assumptions!$C$19</f>
        <v>0</v>
      </c>
      <c r="M10" s="81">
        <f>SUMIF(CALC_Funding!$H:$H,$B10,CALC_Funding!AJ:AJ)/INP_Assumptions!$C$19</f>
        <v>0</v>
      </c>
      <c r="N10" s="81">
        <f>SUMIF(CALC_Funding!$H:$H,$B10,CALC_Funding!AK:AK)/INP_Assumptions!$C$19</f>
        <v>0</v>
      </c>
      <c r="O10" s="81">
        <f>SUMIF(CALC_Funding!$H:$H,$B10,CALC_Funding!AL:AL)/INP_Assumptions!$C$19</f>
        <v>2.0499999999999998</v>
      </c>
      <c r="P10" s="81">
        <f>SUMIF(CALC_Funding!$H:$H,$B10,CALC_Funding!AM:AM)/INP_Assumptions!$C$19</f>
        <v>0</v>
      </c>
      <c r="Q10" s="81">
        <f>SUMIF(CALC_Funding!$H:$H,$B10,CALC_Funding!AN:AN)/INP_Assumptions!$C$19</f>
        <v>0</v>
      </c>
      <c r="R10" s="81">
        <f>SUMIF(CALC_Funding!$H:$H,$B10,CALC_Funding!AO:AO)/INP_Assumptions!$C$19</f>
        <v>0</v>
      </c>
      <c r="S10" s="338">
        <f>SUMIF(CALC_Funding!$H:$H,$B10,CALC_Funding!AP:AP)/INP_Assumptions!$C$19</f>
        <v>0</v>
      </c>
      <c r="T10" s="328">
        <f t="shared" si="2"/>
        <v>2.0499999999999998</v>
      </c>
      <c r="U10" s="80"/>
      <c r="V10" s="335">
        <f t="shared" si="4"/>
        <v>2.0499999999999998</v>
      </c>
      <c r="W10" s="366">
        <f t="shared" si="5"/>
        <v>0.41</v>
      </c>
      <c r="X10" s="367">
        <f t="shared" si="6"/>
        <v>1.23</v>
      </c>
      <c r="Y10" s="367">
        <f t="shared" si="7"/>
        <v>0.41</v>
      </c>
      <c r="Z10" s="367">
        <f t="shared" si="8"/>
        <v>0</v>
      </c>
      <c r="AA10" s="367">
        <f t="shared" si="9"/>
        <v>0</v>
      </c>
      <c r="AB10" s="367">
        <f t="shared" si="10"/>
        <v>0</v>
      </c>
      <c r="AC10" s="368">
        <f t="shared" si="11"/>
        <v>0</v>
      </c>
      <c r="AD10" s="362">
        <f t="shared" si="12"/>
        <v>2.0499999999999998</v>
      </c>
    </row>
    <row r="11" spans="1:30" x14ac:dyDescent="0.25">
      <c r="A11" s="284" t="s">
        <v>563</v>
      </c>
      <c r="B11" s="339" t="s">
        <v>545</v>
      </c>
      <c r="C11" s="343">
        <f>SUMIF(CALC_Funding!$H:$H,$B11,CALC_Funding!L:L)/INP_Assumptions!$C$19</f>
        <v>0.159</v>
      </c>
      <c r="D11" s="344">
        <f>SUMIF(CALC_Funding!$H:$H,$B11,CALC_Funding!M:M)/INP_Assumptions!$C$19</f>
        <v>0.1</v>
      </c>
      <c r="E11" s="344">
        <f>SUMIF(CALC_Funding!$H:$H,$B11,CALC_Funding!N:N)/INP_Assumptions!$C$19</f>
        <v>0</v>
      </c>
      <c r="F11" s="344">
        <f>SUMIF(CALC_Funding!$H:$H,$B11,CALC_Funding!O:O)/INP_Assumptions!$C$19</f>
        <v>0</v>
      </c>
      <c r="G11" s="344">
        <f>SUMIF(CALC_Funding!$H:$H,$B11,CALC_Funding!P:P)/INP_Assumptions!$C$19</f>
        <v>0</v>
      </c>
      <c r="H11" s="344">
        <f>SUMIF(CALC_Funding!$H:$H,$B11,CALC_Funding!Q:Q)/INP_Assumptions!$C$19</f>
        <v>0</v>
      </c>
      <c r="I11" s="344">
        <f>SUMIF(CALC_Funding!$H:$H,$B11,CALC_Funding!R:R)/INP_Assumptions!$C$19</f>
        <v>0</v>
      </c>
      <c r="J11" s="345">
        <f>SUMIF(CALC_Funding!$H:$H,$B11,CALC_Funding!S:S)/INP_Assumptions!$C$19</f>
        <v>0.25900000000000001</v>
      </c>
      <c r="K11" s="78"/>
      <c r="L11" s="84">
        <f>SUMIF(CALC_Funding!$H:$H,$B11,CALC_Funding!AI:AI)/INP_Assumptions!$C$19</f>
        <v>0.159</v>
      </c>
      <c r="M11" s="81">
        <f>SUMIF(CALC_Funding!$H:$H,$B11,CALC_Funding!AJ:AJ)/INP_Assumptions!$C$19</f>
        <v>0</v>
      </c>
      <c r="N11" s="81">
        <f>SUMIF(CALC_Funding!$H:$H,$B11,CALC_Funding!AK:AK)/INP_Assumptions!$C$19</f>
        <v>0.1</v>
      </c>
      <c r="O11" s="81">
        <f>SUMIF(CALC_Funding!$H:$H,$B11,CALC_Funding!AL:AL)/INP_Assumptions!$C$19</f>
        <v>0</v>
      </c>
      <c r="P11" s="81">
        <f>SUMIF(CALC_Funding!$H:$H,$B11,CALC_Funding!AM:AM)/INP_Assumptions!$C$19</f>
        <v>0</v>
      </c>
      <c r="Q11" s="81">
        <f>SUMIF(CALC_Funding!$H:$H,$B11,CALC_Funding!AN:AN)/INP_Assumptions!$C$19</f>
        <v>0</v>
      </c>
      <c r="R11" s="81">
        <f>SUMIF(CALC_Funding!$H:$H,$B11,CALC_Funding!AO:AO)/INP_Assumptions!$C$19</f>
        <v>0</v>
      </c>
      <c r="S11" s="338">
        <f>SUMIF(CALC_Funding!$H:$H,$B11,CALC_Funding!AP:AP)/INP_Assumptions!$C$19</f>
        <v>0</v>
      </c>
      <c r="T11" s="328">
        <f t="shared" si="2"/>
        <v>0.25900000000000001</v>
      </c>
      <c r="U11" s="80"/>
      <c r="V11" s="335">
        <f t="shared" si="4"/>
        <v>0</v>
      </c>
      <c r="W11" s="366">
        <f t="shared" si="5"/>
        <v>0</v>
      </c>
      <c r="X11" s="367">
        <f t="shared" si="6"/>
        <v>0</v>
      </c>
      <c r="Y11" s="367">
        <f t="shared" si="7"/>
        <v>0</v>
      </c>
      <c r="Z11" s="367">
        <f t="shared" si="8"/>
        <v>0</v>
      </c>
      <c r="AA11" s="367">
        <f t="shared" si="9"/>
        <v>0</v>
      </c>
      <c r="AB11" s="367">
        <f t="shared" si="10"/>
        <v>0</v>
      </c>
      <c r="AC11" s="368">
        <f t="shared" si="11"/>
        <v>0</v>
      </c>
      <c r="AD11" s="362">
        <f t="shared" si="12"/>
        <v>0</v>
      </c>
    </row>
    <row r="12" spans="1:30" x14ac:dyDescent="0.25">
      <c r="A12" s="284" t="s">
        <v>565</v>
      </c>
      <c r="B12" s="339" t="s">
        <v>546</v>
      </c>
      <c r="C12" s="343">
        <f>SUMIF(CALC_Funding!$H:$H,$B12,CALC_Funding!L:L)/INP_Assumptions!$C$19</f>
        <v>0</v>
      </c>
      <c r="D12" s="344">
        <f>SUMIF(CALC_Funding!$H:$H,$B12,CALC_Funding!M:M)/INP_Assumptions!$C$19</f>
        <v>0.91</v>
      </c>
      <c r="E12" s="344">
        <f>SUMIF(CALC_Funding!$H:$H,$B12,CALC_Funding!N:N)/INP_Assumptions!$C$19</f>
        <v>0</v>
      </c>
      <c r="F12" s="344">
        <f>SUMIF(CALC_Funding!$H:$H,$B12,CALC_Funding!O:O)/INP_Assumptions!$C$19</f>
        <v>0</v>
      </c>
      <c r="G12" s="344">
        <f>SUMIF(CALC_Funding!$H:$H,$B12,CALC_Funding!P:P)/INP_Assumptions!$C$19</f>
        <v>0</v>
      </c>
      <c r="H12" s="344">
        <f>SUMIF(CALC_Funding!$H:$H,$B12,CALC_Funding!Q:Q)/INP_Assumptions!$C$19</f>
        <v>0</v>
      </c>
      <c r="I12" s="344">
        <f>SUMIF(CALC_Funding!$H:$H,$B12,CALC_Funding!R:R)/INP_Assumptions!$C$19</f>
        <v>0</v>
      </c>
      <c r="J12" s="345">
        <f>SUMIF(CALC_Funding!$H:$H,$B12,CALC_Funding!S:S)/INP_Assumptions!$C$19</f>
        <v>0.91</v>
      </c>
      <c r="K12" s="78"/>
      <c r="L12" s="84">
        <f>SUMIF(CALC_Funding!$H:$H,$B12,CALC_Funding!AI:AI)/INP_Assumptions!$C$19</f>
        <v>0</v>
      </c>
      <c r="M12" s="81">
        <f>SUMIF(CALC_Funding!$H:$H,$B12,CALC_Funding!AJ:AJ)/INP_Assumptions!$C$19</f>
        <v>0</v>
      </c>
      <c r="N12" s="81">
        <f>SUMIF(CALC_Funding!$H:$H,$B12,CALC_Funding!AK:AK)/INP_Assumptions!$C$19</f>
        <v>0.91</v>
      </c>
      <c r="O12" s="81">
        <f>SUMIF(CALC_Funding!$H:$H,$B12,CALC_Funding!AL:AL)/INP_Assumptions!$C$19</f>
        <v>0</v>
      </c>
      <c r="P12" s="81">
        <f>SUMIF(CALC_Funding!$H:$H,$B12,CALC_Funding!AM:AM)/INP_Assumptions!$C$19</f>
        <v>0</v>
      </c>
      <c r="Q12" s="81">
        <f>SUMIF(CALC_Funding!$H:$H,$B12,CALC_Funding!AN:AN)/INP_Assumptions!$C$19</f>
        <v>0</v>
      </c>
      <c r="R12" s="81">
        <f>SUMIF(CALC_Funding!$H:$H,$B12,CALC_Funding!AO:AO)/INP_Assumptions!$C$19</f>
        <v>0</v>
      </c>
      <c r="S12" s="338">
        <f>SUMIF(CALC_Funding!$H:$H,$B12,CALC_Funding!AP:AP)/INP_Assumptions!$C$19</f>
        <v>0</v>
      </c>
      <c r="T12" s="328">
        <f t="shared" si="2"/>
        <v>0.91</v>
      </c>
      <c r="U12" s="80"/>
      <c r="V12" s="335">
        <f t="shared" si="4"/>
        <v>0</v>
      </c>
      <c r="W12" s="366">
        <f t="shared" si="5"/>
        <v>0</v>
      </c>
      <c r="X12" s="367">
        <f t="shared" si="6"/>
        <v>0</v>
      </c>
      <c r="Y12" s="367">
        <f t="shared" si="7"/>
        <v>0</v>
      </c>
      <c r="Z12" s="367">
        <f t="shared" si="8"/>
        <v>0</v>
      </c>
      <c r="AA12" s="367">
        <f t="shared" si="9"/>
        <v>0</v>
      </c>
      <c r="AB12" s="367">
        <f t="shared" si="10"/>
        <v>0</v>
      </c>
      <c r="AC12" s="368">
        <f t="shared" si="11"/>
        <v>0</v>
      </c>
      <c r="AD12" s="362">
        <f t="shared" si="12"/>
        <v>0</v>
      </c>
    </row>
    <row r="13" spans="1:30" x14ac:dyDescent="0.25">
      <c r="A13" s="284" t="s">
        <v>563</v>
      </c>
      <c r="B13" s="339" t="s">
        <v>548</v>
      </c>
      <c r="C13" s="343">
        <f>SUMIF(CALC_Funding!$H:$H,$B13,CALC_Funding!L:L)/INP_Assumptions!$C$19</f>
        <v>0.53500000000000003</v>
      </c>
      <c r="D13" s="344">
        <f>SUMIF(CALC_Funding!$H:$H,$B13,CALC_Funding!M:M)/INP_Assumptions!$C$19</f>
        <v>1.01</v>
      </c>
      <c r="E13" s="344">
        <f>SUMIF(CALC_Funding!$H:$H,$B13,CALC_Funding!N:N)/INP_Assumptions!$C$19</f>
        <v>1.32</v>
      </c>
      <c r="F13" s="344">
        <f>SUMIF(CALC_Funding!$H:$H,$B13,CALC_Funding!O:O)/INP_Assumptions!$C$19</f>
        <v>0</v>
      </c>
      <c r="G13" s="344">
        <f>SUMIF(CALC_Funding!$H:$H,$B13,CALC_Funding!P:P)/INP_Assumptions!$C$19</f>
        <v>0</v>
      </c>
      <c r="H13" s="344">
        <f>SUMIF(CALC_Funding!$H:$H,$B13,CALC_Funding!Q:Q)/INP_Assumptions!$C$19</f>
        <v>0</v>
      </c>
      <c r="I13" s="344">
        <f>SUMIF(CALC_Funding!$H:$H,$B13,CALC_Funding!R:R)/INP_Assumptions!$C$19</f>
        <v>0</v>
      </c>
      <c r="J13" s="345">
        <f>SUMIF(CALC_Funding!$H:$H,$B13,CALC_Funding!S:S)/INP_Assumptions!$C$19</f>
        <v>2.8650000000000002</v>
      </c>
      <c r="K13" s="78"/>
      <c r="L13" s="84">
        <f>SUMIF(CALC_Funding!$H:$H,$B13,CALC_Funding!AI:AI)/INP_Assumptions!$C$19</f>
        <v>0.51500000000000001</v>
      </c>
      <c r="M13" s="81">
        <f>SUMIF(CALC_Funding!$H:$H,$B13,CALC_Funding!AJ:AJ)/INP_Assumptions!$C$19</f>
        <v>1.7625</v>
      </c>
      <c r="N13" s="81">
        <f>SUMIF(CALC_Funding!$H:$H,$B13,CALC_Funding!AK:AK)/INP_Assumptions!$C$19</f>
        <v>0</v>
      </c>
      <c r="O13" s="81">
        <f>SUMIF(CALC_Funding!$H:$H,$B13,CALC_Funding!AL:AL)/INP_Assumptions!$C$19</f>
        <v>0</v>
      </c>
      <c r="P13" s="81">
        <f>SUMIF(CALC_Funding!$H:$H,$B13,CALC_Funding!AM:AM)/INP_Assumptions!$C$19</f>
        <v>0</v>
      </c>
      <c r="Q13" s="81">
        <f>SUMIF(CALC_Funding!$H:$H,$B13,CALC_Funding!AN:AN)/INP_Assumptions!$C$19</f>
        <v>0.16250000000000001</v>
      </c>
      <c r="R13" s="81">
        <f>SUMIF(CALC_Funding!$H:$H,$B13,CALC_Funding!AO:AO)/INP_Assumptions!$C$19</f>
        <v>0.42499999999999999</v>
      </c>
      <c r="S13" s="338">
        <f>SUMIF(CALC_Funding!$H:$H,$B13,CALC_Funding!AP:AP)/INP_Assumptions!$C$19</f>
        <v>0</v>
      </c>
      <c r="T13" s="328">
        <f t="shared" si="2"/>
        <v>2.8649999999999998</v>
      </c>
      <c r="U13" s="80"/>
      <c r="V13" s="335">
        <f t="shared" si="4"/>
        <v>0</v>
      </c>
      <c r="W13" s="366">
        <f t="shared" si="5"/>
        <v>0</v>
      </c>
      <c r="X13" s="367">
        <f t="shared" si="6"/>
        <v>0</v>
      </c>
      <c r="Y13" s="367">
        <f t="shared" si="7"/>
        <v>0</v>
      </c>
      <c r="Z13" s="367">
        <f t="shared" si="8"/>
        <v>0</v>
      </c>
      <c r="AA13" s="367">
        <f t="shared" si="9"/>
        <v>0</v>
      </c>
      <c r="AB13" s="367">
        <f t="shared" si="10"/>
        <v>0</v>
      </c>
      <c r="AC13" s="368">
        <f t="shared" si="11"/>
        <v>0</v>
      </c>
      <c r="AD13" s="362">
        <f t="shared" si="12"/>
        <v>0</v>
      </c>
    </row>
    <row r="14" spans="1:30" x14ac:dyDescent="0.25">
      <c r="A14" s="284" t="s">
        <v>565</v>
      </c>
      <c r="B14" s="339" t="s">
        <v>549</v>
      </c>
      <c r="C14" s="343">
        <f>SUMIF(CALC_Funding!$H:$H,$B14,CALC_Funding!L:L)/INP_Assumptions!$C$19</f>
        <v>0.64500000000000002</v>
      </c>
      <c r="D14" s="344">
        <f>SUMIF(CALC_Funding!$H:$H,$B14,CALC_Funding!M:M)/INP_Assumptions!$C$19</f>
        <v>0.2</v>
      </c>
      <c r="E14" s="344">
        <f>SUMIF(CALC_Funding!$H:$H,$B14,CALC_Funding!N:N)/INP_Assumptions!$C$19</f>
        <v>0</v>
      </c>
      <c r="F14" s="344">
        <f>SUMIF(CALC_Funding!$H:$H,$B14,CALC_Funding!O:O)/INP_Assumptions!$C$19</f>
        <v>0</v>
      </c>
      <c r="G14" s="344">
        <f>SUMIF(CALC_Funding!$H:$H,$B14,CALC_Funding!P:P)/INP_Assumptions!$C$19</f>
        <v>0</v>
      </c>
      <c r="H14" s="344">
        <f>SUMIF(CALC_Funding!$H:$H,$B14,CALC_Funding!Q:Q)/INP_Assumptions!$C$19</f>
        <v>0</v>
      </c>
      <c r="I14" s="344">
        <f>SUMIF(CALC_Funding!$H:$H,$B14,CALC_Funding!R:R)/INP_Assumptions!$C$19</f>
        <v>0</v>
      </c>
      <c r="J14" s="345">
        <f>SUMIF(CALC_Funding!$H:$H,$B14,CALC_Funding!S:S)/INP_Assumptions!$C$19</f>
        <v>0.84499999999999997</v>
      </c>
      <c r="K14" s="78"/>
      <c r="L14" s="84">
        <f>SUMIF(CALC_Funding!$H:$H,$B14,CALC_Funding!AI:AI)/INP_Assumptions!$C$19</f>
        <v>0.64500000000000002</v>
      </c>
      <c r="M14" s="81">
        <f>SUMIF(CALC_Funding!$H:$H,$B14,CALC_Funding!AJ:AJ)/INP_Assumptions!$C$19</f>
        <v>0.15</v>
      </c>
      <c r="N14" s="81">
        <f>SUMIF(CALC_Funding!$H:$H,$B14,CALC_Funding!AK:AK)/INP_Assumptions!$C$19</f>
        <v>0</v>
      </c>
      <c r="O14" s="81">
        <f>SUMIF(CALC_Funding!$H:$H,$B14,CALC_Funding!AL:AL)/INP_Assumptions!$C$19</f>
        <v>0</v>
      </c>
      <c r="P14" s="81">
        <f>SUMIF(CALC_Funding!$H:$H,$B14,CALC_Funding!AM:AM)/INP_Assumptions!$C$19</f>
        <v>0</v>
      </c>
      <c r="Q14" s="81">
        <f>SUMIF(CALC_Funding!$H:$H,$B14,CALC_Funding!AN:AN)/INP_Assumptions!$C$19</f>
        <v>0</v>
      </c>
      <c r="R14" s="81">
        <f>SUMIF(CALC_Funding!$H:$H,$B14,CALC_Funding!AO:AO)/INP_Assumptions!$C$19</f>
        <v>0.05</v>
      </c>
      <c r="S14" s="338">
        <f>SUMIF(CALC_Funding!$H:$H,$B14,CALC_Funding!AP:AP)/INP_Assumptions!$C$19</f>
        <v>0</v>
      </c>
      <c r="T14" s="328">
        <f t="shared" si="2"/>
        <v>0.84500000000000008</v>
      </c>
      <c r="U14" s="80"/>
      <c r="V14" s="335">
        <f t="shared" si="4"/>
        <v>0</v>
      </c>
      <c r="W14" s="366">
        <f t="shared" si="5"/>
        <v>0</v>
      </c>
      <c r="X14" s="367">
        <f t="shared" si="6"/>
        <v>0</v>
      </c>
      <c r="Y14" s="367">
        <f t="shared" si="7"/>
        <v>0</v>
      </c>
      <c r="Z14" s="367">
        <f t="shared" si="8"/>
        <v>0</v>
      </c>
      <c r="AA14" s="367">
        <f t="shared" si="9"/>
        <v>0</v>
      </c>
      <c r="AB14" s="367">
        <f t="shared" si="10"/>
        <v>0</v>
      </c>
      <c r="AC14" s="368">
        <f t="shared" si="11"/>
        <v>0</v>
      </c>
      <c r="AD14" s="362">
        <f t="shared" si="12"/>
        <v>0</v>
      </c>
    </row>
    <row r="15" spans="1:30" x14ac:dyDescent="0.25">
      <c r="A15" s="284" t="s">
        <v>563</v>
      </c>
      <c r="B15" s="339" t="s">
        <v>550</v>
      </c>
      <c r="C15" s="343">
        <f>SUMIF(CALC_Funding!$H:$H,$B15,CALC_Funding!L:L)/INP_Assumptions!$C$19</f>
        <v>0</v>
      </c>
      <c r="D15" s="344">
        <f>SUMIF(CALC_Funding!$H:$H,$B15,CALC_Funding!M:M)/INP_Assumptions!$C$19</f>
        <v>0.2</v>
      </c>
      <c r="E15" s="344">
        <f>SUMIF(CALC_Funding!$H:$H,$B15,CALC_Funding!N:N)/INP_Assumptions!$C$19</f>
        <v>0</v>
      </c>
      <c r="F15" s="344">
        <f>SUMIF(CALC_Funding!$H:$H,$B15,CALC_Funding!O:O)/INP_Assumptions!$C$19</f>
        <v>0</v>
      </c>
      <c r="G15" s="344">
        <f>SUMIF(CALC_Funding!$H:$H,$B15,CALC_Funding!P:P)/INP_Assumptions!$C$19</f>
        <v>0</v>
      </c>
      <c r="H15" s="344">
        <f>SUMIF(CALC_Funding!$H:$H,$B15,CALC_Funding!Q:Q)/INP_Assumptions!$C$19</f>
        <v>0</v>
      </c>
      <c r="I15" s="344">
        <f>SUMIF(CALC_Funding!$H:$H,$B15,CALC_Funding!R:R)/INP_Assumptions!$C$19</f>
        <v>0</v>
      </c>
      <c r="J15" s="345">
        <f>SUMIF(CALC_Funding!$H:$H,$B15,CALC_Funding!S:S)/INP_Assumptions!$C$19</f>
        <v>0.2</v>
      </c>
      <c r="K15" s="78"/>
      <c r="L15" s="84">
        <f>SUMIF(CALC_Funding!$H:$H,$B15,CALC_Funding!AI:AI)/INP_Assumptions!$C$19</f>
        <v>0</v>
      </c>
      <c r="M15" s="81">
        <f>SUMIF(CALC_Funding!$H:$H,$B15,CALC_Funding!AJ:AJ)/INP_Assumptions!$C$19</f>
        <v>0</v>
      </c>
      <c r="N15" s="81">
        <f>SUMIF(CALC_Funding!$H:$H,$B15,CALC_Funding!AK:AK)/INP_Assumptions!$C$19</f>
        <v>0.1</v>
      </c>
      <c r="O15" s="81">
        <f>SUMIF(CALC_Funding!$H:$H,$B15,CALC_Funding!AL:AL)/INP_Assumptions!$C$19</f>
        <v>0</v>
      </c>
      <c r="P15" s="81">
        <f>SUMIF(CALC_Funding!$H:$H,$B15,CALC_Funding!AM:AM)/INP_Assumptions!$C$19</f>
        <v>0</v>
      </c>
      <c r="Q15" s="81">
        <f>SUMIF(CALC_Funding!$H:$H,$B15,CALC_Funding!AN:AN)/INP_Assumptions!$C$19</f>
        <v>0.1</v>
      </c>
      <c r="R15" s="81">
        <f>SUMIF(CALC_Funding!$H:$H,$B15,CALC_Funding!AO:AO)/INP_Assumptions!$C$19</f>
        <v>0</v>
      </c>
      <c r="S15" s="338">
        <f>SUMIF(CALC_Funding!$H:$H,$B15,CALC_Funding!AP:AP)/INP_Assumptions!$C$19</f>
        <v>0</v>
      </c>
      <c r="T15" s="328">
        <f t="shared" si="2"/>
        <v>0.2</v>
      </c>
      <c r="U15" s="80"/>
      <c r="V15" s="335">
        <f t="shared" si="4"/>
        <v>0</v>
      </c>
      <c r="W15" s="366">
        <f t="shared" si="5"/>
        <v>0</v>
      </c>
      <c r="X15" s="367">
        <f t="shared" si="6"/>
        <v>0</v>
      </c>
      <c r="Y15" s="367">
        <f t="shared" si="7"/>
        <v>0</v>
      </c>
      <c r="Z15" s="367">
        <f t="shared" si="8"/>
        <v>0</v>
      </c>
      <c r="AA15" s="367">
        <f t="shared" si="9"/>
        <v>0</v>
      </c>
      <c r="AB15" s="367">
        <f t="shared" si="10"/>
        <v>0</v>
      </c>
      <c r="AC15" s="368">
        <f t="shared" si="11"/>
        <v>0</v>
      </c>
      <c r="AD15" s="362">
        <f t="shared" si="12"/>
        <v>0</v>
      </c>
    </row>
    <row r="16" spans="1:30" x14ac:dyDescent="0.25">
      <c r="A16" s="284" t="s">
        <v>563</v>
      </c>
      <c r="B16" s="339" t="s">
        <v>551</v>
      </c>
      <c r="C16" s="343">
        <f>SUMIF(CALC_Funding!$H:$H,$B16,CALC_Funding!L:L)/INP_Assumptions!$C$19</f>
        <v>0.43340000000000001</v>
      </c>
      <c r="D16" s="344">
        <f>SUMIF(CALC_Funding!$H:$H,$B16,CALC_Funding!M:M)/INP_Assumptions!$C$19</f>
        <v>0.65669999999999995</v>
      </c>
      <c r="E16" s="344">
        <f>SUMIF(CALC_Funding!$H:$H,$B16,CALC_Funding!N:N)/INP_Assumptions!$C$19</f>
        <v>0.39269999999999999</v>
      </c>
      <c r="F16" s="344">
        <f>SUMIF(CALC_Funding!$H:$H,$B16,CALC_Funding!O:O)/INP_Assumptions!$C$19</f>
        <v>8.8700000000000001E-2</v>
      </c>
      <c r="G16" s="344">
        <f>SUMIF(CALC_Funding!$H:$H,$B16,CALC_Funding!P:P)/INP_Assumptions!$C$19</f>
        <v>0</v>
      </c>
      <c r="H16" s="344">
        <f>SUMIF(CALC_Funding!$H:$H,$B16,CALC_Funding!Q:Q)/INP_Assumptions!$C$19</f>
        <v>0</v>
      </c>
      <c r="I16" s="344">
        <f>SUMIF(CALC_Funding!$H:$H,$B16,CALC_Funding!R:R)/INP_Assumptions!$C$19</f>
        <v>0</v>
      </c>
      <c r="J16" s="345">
        <f>SUMIF(CALC_Funding!$H:$H,$B16,CALC_Funding!S:S)/INP_Assumptions!$C$19</f>
        <v>1.5714999999999999</v>
      </c>
      <c r="K16" s="78"/>
      <c r="L16" s="84">
        <f>SUMIF(CALC_Funding!$H:$H,$B16,CALC_Funding!AI:AI)/INP_Assumptions!$C$19</f>
        <v>0.04</v>
      </c>
      <c r="M16" s="81">
        <f>SUMIF(CALC_Funding!$H:$H,$B16,CALC_Funding!AJ:AJ)/INP_Assumptions!$C$19</f>
        <v>0</v>
      </c>
      <c r="N16" s="81">
        <f>SUMIF(CALC_Funding!$H:$H,$B16,CALC_Funding!AK:AK)/INP_Assumptions!$C$19</f>
        <v>1.5315000000000001</v>
      </c>
      <c r="O16" s="81">
        <f>SUMIF(CALC_Funding!$H:$H,$B16,CALC_Funding!AL:AL)/INP_Assumptions!$C$19</f>
        <v>0</v>
      </c>
      <c r="P16" s="81">
        <f>SUMIF(CALC_Funding!$H:$H,$B16,CALC_Funding!AM:AM)/INP_Assumptions!$C$19</f>
        <v>0</v>
      </c>
      <c r="Q16" s="81">
        <f>SUMIF(CALC_Funding!$H:$H,$B16,CALC_Funding!AN:AN)/INP_Assumptions!$C$19</f>
        <v>0</v>
      </c>
      <c r="R16" s="81">
        <f>SUMIF(CALC_Funding!$H:$H,$B16,CALC_Funding!AO:AO)/INP_Assumptions!$C$19</f>
        <v>0</v>
      </c>
      <c r="S16" s="338">
        <f>SUMIF(CALC_Funding!$H:$H,$B16,CALC_Funding!AP:AP)/INP_Assumptions!$C$19</f>
        <v>0</v>
      </c>
      <c r="T16" s="328">
        <f t="shared" si="2"/>
        <v>1.5715000000000001</v>
      </c>
      <c r="U16" s="80"/>
      <c r="V16" s="335">
        <f t="shared" si="4"/>
        <v>0</v>
      </c>
      <c r="W16" s="366">
        <f t="shared" si="5"/>
        <v>0</v>
      </c>
      <c r="X16" s="367">
        <f t="shared" si="6"/>
        <v>0</v>
      </c>
      <c r="Y16" s="367">
        <f t="shared" si="7"/>
        <v>0</v>
      </c>
      <c r="Z16" s="367">
        <f t="shared" si="8"/>
        <v>0</v>
      </c>
      <c r="AA16" s="367">
        <f t="shared" si="9"/>
        <v>0</v>
      </c>
      <c r="AB16" s="367">
        <f t="shared" si="10"/>
        <v>0</v>
      </c>
      <c r="AC16" s="368">
        <f t="shared" si="11"/>
        <v>0</v>
      </c>
      <c r="AD16" s="362">
        <f t="shared" si="12"/>
        <v>0</v>
      </c>
    </row>
    <row r="17" spans="1:30" x14ac:dyDescent="0.25">
      <c r="A17" s="284" t="s">
        <v>565</v>
      </c>
      <c r="B17" s="339" t="s">
        <v>552</v>
      </c>
      <c r="C17" s="343">
        <f>SUMIF(CALC_Funding!$H:$H,$B17,CALC_Funding!L:L)/INP_Assumptions!$C$19</f>
        <v>7.4499999999999997E-2</v>
      </c>
      <c r="D17" s="344">
        <f>SUMIF(CALC_Funding!$H:$H,$B17,CALC_Funding!M:M)/INP_Assumptions!$C$19</f>
        <v>0.06</v>
      </c>
      <c r="E17" s="344">
        <f>SUMIF(CALC_Funding!$H:$H,$B17,CALC_Funding!N:N)/INP_Assumptions!$C$19</f>
        <v>0.06</v>
      </c>
      <c r="F17" s="344">
        <f>SUMIF(CALC_Funding!$H:$H,$B17,CALC_Funding!O:O)/INP_Assumptions!$C$19</f>
        <v>0</v>
      </c>
      <c r="G17" s="344">
        <f>SUMIF(CALC_Funding!$H:$H,$B17,CALC_Funding!P:P)/INP_Assumptions!$C$19</f>
        <v>0</v>
      </c>
      <c r="H17" s="344">
        <f>SUMIF(CALC_Funding!$H:$H,$B17,CALC_Funding!Q:Q)/INP_Assumptions!$C$19</f>
        <v>0</v>
      </c>
      <c r="I17" s="344">
        <f>SUMIF(CALC_Funding!$H:$H,$B17,CALC_Funding!R:R)/INP_Assumptions!$C$19</f>
        <v>0</v>
      </c>
      <c r="J17" s="345">
        <f>SUMIF(CALC_Funding!$H:$H,$B17,CALC_Funding!S:S)/INP_Assumptions!$C$19</f>
        <v>0.19450000000000001</v>
      </c>
      <c r="K17" s="78"/>
      <c r="L17" s="84">
        <f>SUMIF(CALC_Funding!$H:$H,$B17,CALC_Funding!AI:AI)/INP_Assumptions!$C$19</f>
        <v>0.04</v>
      </c>
      <c r="M17" s="81">
        <f>SUMIF(CALC_Funding!$H:$H,$B17,CALC_Funding!AJ:AJ)/INP_Assumptions!$C$19</f>
        <v>0</v>
      </c>
      <c r="N17" s="81">
        <f>SUMIF(CALC_Funding!$H:$H,$B17,CALC_Funding!AK:AK)/INP_Assumptions!$C$19</f>
        <v>0.1545</v>
      </c>
      <c r="O17" s="81">
        <f>SUMIF(CALC_Funding!$H:$H,$B17,CALC_Funding!AL:AL)/INP_Assumptions!$C$19</f>
        <v>0</v>
      </c>
      <c r="P17" s="81">
        <f>SUMIF(CALC_Funding!$H:$H,$B17,CALC_Funding!AM:AM)/INP_Assumptions!$C$19</f>
        <v>0</v>
      </c>
      <c r="Q17" s="81">
        <f>SUMIF(CALC_Funding!$H:$H,$B17,CALC_Funding!AN:AN)/INP_Assumptions!$C$19</f>
        <v>0</v>
      </c>
      <c r="R17" s="81">
        <f>SUMIF(CALC_Funding!$H:$H,$B17,CALC_Funding!AO:AO)/INP_Assumptions!$C$19</f>
        <v>0</v>
      </c>
      <c r="S17" s="338">
        <f>SUMIF(CALC_Funding!$H:$H,$B17,CALC_Funding!AP:AP)/INP_Assumptions!$C$19</f>
        <v>0</v>
      </c>
      <c r="T17" s="328">
        <f t="shared" si="2"/>
        <v>0.19450000000000001</v>
      </c>
      <c r="U17" s="80"/>
      <c r="V17" s="335">
        <f t="shared" si="4"/>
        <v>0</v>
      </c>
      <c r="W17" s="366">
        <f t="shared" si="5"/>
        <v>0</v>
      </c>
      <c r="X17" s="367">
        <f t="shared" si="6"/>
        <v>0</v>
      </c>
      <c r="Y17" s="367">
        <f t="shared" si="7"/>
        <v>0</v>
      </c>
      <c r="Z17" s="367">
        <f t="shared" si="8"/>
        <v>0</v>
      </c>
      <c r="AA17" s="367">
        <f t="shared" si="9"/>
        <v>0</v>
      </c>
      <c r="AB17" s="367">
        <f t="shared" si="10"/>
        <v>0</v>
      </c>
      <c r="AC17" s="368">
        <f t="shared" si="11"/>
        <v>0</v>
      </c>
      <c r="AD17" s="362">
        <f t="shared" si="12"/>
        <v>0</v>
      </c>
    </row>
    <row r="18" spans="1:30" x14ac:dyDescent="0.25">
      <c r="A18" s="284" t="s">
        <v>564</v>
      </c>
      <c r="B18" s="339" t="s">
        <v>553</v>
      </c>
      <c r="C18" s="509">
        <f>SUMIF(CALC_Funding!$H:$H,$B18,CALC_Funding!L:L)/INP_Assumptions!$C$19</f>
        <v>0.152</v>
      </c>
      <c r="D18" s="344">
        <f>SUMIF(CALC_Funding!$H:$H,$B18,CALC_Funding!M:M)/INP_Assumptions!$C$19</f>
        <v>0.107</v>
      </c>
      <c r="E18" s="344">
        <f>SUMIF(CALC_Funding!$H:$H,$B18,CALC_Funding!N:N)/INP_Assumptions!$C$19</f>
        <v>0.107</v>
      </c>
      <c r="F18" s="344">
        <f>SUMIF(CALC_Funding!$H:$H,$B18,CALC_Funding!O:O)/INP_Assumptions!$C$19</f>
        <v>0.107</v>
      </c>
      <c r="G18" s="344">
        <f>SUMIF(CALC_Funding!$H:$H,$B18,CALC_Funding!P:P)/INP_Assumptions!$C$19</f>
        <v>0</v>
      </c>
      <c r="H18" s="344">
        <f>SUMIF(CALC_Funding!$H:$H,$B18,CALC_Funding!Q:Q)/INP_Assumptions!$C$19</f>
        <v>0</v>
      </c>
      <c r="I18" s="344">
        <f>SUMIF(CALC_Funding!$H:$H,$B18,CALC_Funding!R:R)/INP_Assumptions!$C$19</f>
        <v>0</v>
      </c>
      <c r="J18" s="345">
        <f>SUMIF(CALC_Funding!$H:$H,$B18,CALC_Funding!S:S)/INP_Assumptions!$C$19</f>
        <v>0.47299999999999998</v>
      </c>
      <c r="K18" s="78"/>
      <c r="L18" s="84">
        <f>SUMIF(CALC_Funding!$H:$H,$B18,CALC_Funding!AI:AI)/INP_Assumptions!$C$19</f>
        <v>4.4999999999999998E-2</v>
      </c>
      <c r="M18" s="81">
        <f>SUMIF(CALC_Funding!$H:$H,$B18,CALC_Funding!AJ:AJ)/INP_Assumptions!$C$19</f>
        <v>0</v>
      </c>
      <c r="N18" s="81">
        <f>SUMIF(CALC_Funding!$H:$H,$B18,CALC_Funding!AK:AK)/INP_Assumptions!$C$19</f>
        <v>0.42799999999999999</v>
      </c>
      <c r="O18" s="81">
        <f>SUMIF(CALC_Funding!$H:$H,$B18,CALC_Funding!AL:AL)/INP_Assumptions!$C$19</f>
        <v>0</v>
      </c>
      <c r="P18" s="81">
        <f>SUMIF(CALC_Funding!$H:$H,$B18,CALC_Funding!AM:AM)/INP_Assumptions!$C$19</f>
        <v>0</v>
      </c>
      <c r="Q18" s="81">
        <f>SUMIF(CALC_Funding!$H:$H,$B18,CALC_Funding!AN:AN)/INP_Assumptions!$C$19</f>
        <v>0</v>
      </c>
      <c r="R18" s="81">
        <f>SUMIF(CALC_Funding!$H:$H,$B18,CALC_Funding!AO:AO)/INP_Assumptions!$C$19</f>
        <v>0</v>
      </c>
      <c r="S18" s="338">
        <f>SUMIF(CALC_Funding!$H:$H,$B18,CALC_Funding!AP:AP)/INP_Assumptions!$C$19</f>
        <v>0</v>
      </c>
      <c r="T18" s="328">
        <f t="shared" si="2"/>
        <v>0.47299999999999998</v>
      </c>
      <c r="U18" s="80"/>
      <c r="V18" s="335">
        <f t="shared" si="4"/>
        <v>0</v>
      </c>
      <c r="W18" s="366">
        <f t="shared" si="5"/>
        <v>0</v>
      </c>
      <c r="X18" s="367">
        <f t="shared" si="6"/>
        <v>0</v>
      </c>
      <c r="Y18" s="367">
        <f t="shared" si="7"/>
        <v>0</v>
      </c>
      <c r="Z18" s="367">
        <f t="shared" si="8"/>
        <v>0</v>
      </c>
      <c r="AA18" s="367">
        <f t="shared" si="9"/>
        <v>0</v>
      </c>
      <c r="AB18" s="367">
        <f t="shared" si="10"/>
        <v>0</v>
      </c>
      <c r="AC18" s="368">
        <f t="shared" si="11"/>
        <v>0</v>
      </c>
      <c r="AD18" s="362">
        <f t="shared" si="12"/>
        <v>0</v>
      </c>
    </row>
    <row r="19" spans="1:30" x14ac:dyDescent="0.25">
      <c r="A19" s="284" t="s">
        <v>566</v>
      </c>
      <c r="B19" s="339" t="s">
        <v>554</v>
      </c>
      <c r="C19" s="343">
        <f>SUMIF(CALC_Funding!$H:$H,$B19,CALC_Funding!L:L)/INP_Assumptions!$C$19</f>
        <v>8.7999999999999995E-2</v>
      </c>
      <c r="D19" s="344">
        <f>SUMIF(CALC_Funding!$H:$H,$B19,CALC_Funding!M:M)/INP_Assumptions!$C$19</f>
        <v>8.7999999999999995E-2</v>
      </c>
      <c r="E19" s="344">
        <f>SUMIF(CALC_Funding!$H:$H,$B19,CALC_Funding!N:N)/INP_Assumptions!$C$19</f>
        <v>8.7999999999999995E-2</v>
      </c>
      <c r="F19" s="344">
        <f>SUMIF(CALC_Funding!$H:$H,$B19,CALC_Funding!O:O)/INP_Assumptions!$C$19</f>
        <v>8.7999999999999995E-2</v>
      </c>
      <c r="G19" s="344">
        <f>SUMIF(CALC_Funding!$H:$H,$B19,CALC_Funding!P:P)/INP_Assumptions!$C$19</f>
        <v>0</v>
      </c>
      <c r="H19" s="344">
        <f>SUMIF(CALC_Funding!$H:$H,$B19,CALC_Funding!Q:Q)/INP_Assumptions!$C$19</f>
        <v>0</v>
      </c>
      <c r="I19" s="344">
        <f>SUMIF(CALC_Funding!$H:$H,$B19,CALC_Funding!R:R)/INP_Assumptions!$C$19</f>
        <v>0</v>
      </c>
      <c r="J19" s="345">
        <f>SUMIF(CALC_Funding!$H:$H,$B19,CALC_Funding!S:S)/INP_Assumptions!$C$19</f>
        <v>0.35199999999999998</v>
      </c>
      <c r="K19" s="78"/>
      <c r="L19" s="84">
        <f>SUMIF(CALC_Funding!$H:$H,$B19,CALC_Funding!AI:AI)/INP_Assumptions!$C$19</f>
        <v>0.02</v>
      </c>
      <c r="M19" s="81">
        <f>SUMIF(CALC_Funding!$H:$H,$B19,CALC_Funding!AJ:AJ)/INP_Assumptions!$C$19</f>
        <v>0</v>
      </c>
      <c r="N19" s="81">
        <f>SUMIF(CALC_Funding!$H:$H,$B19,CALC_Funding!AK:AK)/INP_Assumptions!$C$19</f>
        <v>0.33200000000000002</v>
      </c>
      <c r="O19" s="81">
        <f>SUMIF(CALC_Funding!$H:$H,$B19,CALC_Funding!AL:AL)/INP_Assumptions!$C$19</f>
        <v>0</v>
      </c>
      <c r="P19" s="81">
        <f>SUMIF(CALC_Funding!$H:$H,$B19,CALC_Funding!AM:AM)/INP_Assumptions!$C$19</f>
        <v>0</v>
      </c>
      <c r="Q19" s="81">
        <f>SUMIF(CALC_Funding!$H:$H,$B19,CALC_Funding!AN:AN)/INP_Assumptions!$C$19</f>
        <v>0</v>
      </c>
      <c r="R19" s="81">
        <f>SUMIF(CALC_Funding!$H:$H,$B19,CALC_Funding!AO:AO)/INP_Assumptions!$C$19</f>
        <v>0</v>
      </c>
      <c r="S19" s="338">
        <f>SUMIF(CALC_Funding!$H:$H,$B19,CALC_Funding!AP:AP)/INP_Assumptions!$C$19</f>
        <v>0</v>
      </c>
      <c r="T19" s="328">
        <f t="shared" si="2"/>
        <v>0.35200000000000004</v>
      </c>
      <c r="U19" s="80"/>
      <c r="V19" s="335">
        <f t="shared" si="4"/>
        <v>0</v>
      </c>
      <c r="W19" s="366">
        <f t="shared" si="5"/>
        <v>0</v>
      </c>
      <c r="X19" s="367">
        <f t="shared" si="6"/>
        <v>0</v>
      </c>
      <c r="Y19" s="367">
        <f t="shared" si="7"/>
        <v>0</v>
      </c>
      <c r="Z19" s="367">
        <f t="shared" si="8"/>
        <v>0</v>
      </c>
      <c r="AA19" s="367">
        <f t="shared" si="9"/>
        <v>0</v>
      </c>
      <c r="AB19" s="367">
        <f t="shared" si="10"/>
        <v>0</v>
      </c>
      <c r="AC19" s="368">
        <f t="shared" si="11"/>
        <v>0</v>
      </c>
      <c r="AD19" s="362">
        <f t="shared" si="12"/>
        <v>0</v>
      </c>
    </row>
    <row r="20" spans="1:30" x14ac:dyDescent="0.25">
      <c r="A20" s="284" t="s">
        <v>563</v>
      </c>
      <c r="B20" s="339" t="s">
        <v>555</v>
      </c>
      <c r="C20" s="343">
        <f>SUMIF(CALC_Funding!$H:$H,$B20,CALC_Funding!L:L)/INP_Assumptions!$C$19</f>
        <v>0.05</v>
      </c>
      <c r="D20" s="344">
        <f>SUMIF(CALC_Funding!$H:$H,$B20,CALC_Funding!M:M)/INP_Assumptions!$C$19</f>
        <v>0.05</v>
      </c>
      <c r="E20" s="344">
        <f>SUMIF(CALC_Funding!$H:$H,$B20,CALC_Funding!N:N)/INP_Assumptions!$C$19</f>
        <v>0.13</v>
      </c>
      <c r="F20" s="344">
        <f>SUMIF(CALC_Funding!$H:$H,$B20,CALC_Funding!O:O)/INP_Assumptions!$C$19</f>
        <v>0.13</v>
      </c>
      <c r="G20" s="344">
        <f>SUMIF(CALC_Funding!$H:$H,$B20,CALC_Funding!P:P)/INP_Assumptions!$C$19</f>
        <v>0</v>
      </c>
      <c r="H20" s="344">
        <f>SUMIF(CALC_Funding!$H:$H,$B20,CALC_Funding!Q:Q)/INP_Assumptions!$C$19</f>
        <v>0</v>
      </c>
      <c r="I20" s="344">
        <f>SUMIF(CALC_Funding!$H:$H,$B20,CALC_Funding!R:R)/INP_Assumptions!$C$19</f>
        <v>0</v>
      </c>
      <c r="J20" s="345">
        <f>SUMIF(CALC_Funding!$H:$H,$B20,CALC_Funding!S:S)/INP_Assumptions!$C$19</f>
        <v>0.36</v>
      </c>
      <c r="K20" s="78"/>
      <c r="L20" s="84">
        <f>SUMIF(CALC_Funding!$H:$H,$B20,CALC_Funding!AI:AI)/INP_Assumptions!$C$19</f>
        <v>0</v>
      </c>
      <c r="M20" s="81">
        <f>SUMIF(CALC_Funding!$H:$H,$B20,CALC_Funding!AJ:AJ)/INP_Assumptions!$C$19</f>
        <v>0</v>
      </c>
      <c r="N20" s="81">
        <f>SUMIF(CALC_Funding!$H:$H,$B20,CALC_Funding!AK:AK)/INP_Assumptions!$C$19</f>
        <v>0.36</v>
      </c>
      <c r="O20" s="81">
        <f>SUMIF(CALC_Funding!$H:$H,$B20,CALC_Funding!AL:AL)/INP_Assumptions!$C$19</f>
        <v>0</v>
      </c>
      <c r="P20" s="81">
        <f>SUMIF(CALC_Funding!$H:$H,$B20,CALC_Funding!AM:AM)/INP_Assumptions!$C$19</f>
        <v>0</v>
      </c>
      <c r="Q20" s="81">
        <f>SUMIF(CALC_Funding!$H:$H,$B20,CALC_Funding!AN:AN)/INP_Assumptions!$C$19</f>
        <v>0</v>
      </c>
      <c r="R20" s="81">
        <f>SUMIF(CALC_Funding!$H:$H,$B20,CALC_Funding!AO:AO)/INP_Assumptions!$C$19</f>
        <v>0</v>
      </c>
      <c r="S20" s="338">
        <f>SUMIF(CALC_Funding!$H:$H,$B20,CALC_Funding!AP:AP)/INP_Assumptions!$C$19</f>
        <v>0</v>
      </c>
      <c r="T20" s="328">
        <f t="shared" si="2"/>
        <v>0.36</v>
      </c>
      <c r="U20" s="80"/>
      <c r="V20" s="335">
        <f t="shared" si="4"/>
        <v>0</v>
      </c>
      <c r="W20" s="366">
        <f t="shared" si="5"/>
        <v>0</v>
      </c>
      <c r="X20" s="367">
        <f t="shared" si="6"/>
        <v>0</v>
      </c>
      <c r="Y20" s="367">
        <f t="shared" si="7"/>
        <v>0</v>
      </c>
      <c r="Z20" s="367">
        <f t="shared" si="8"/>
        <v>0</v>
      </c>
      <c r="AA20" s="367">
        <f t="shared" si="9"/>
        <v>0</v>
      </c>
      <c r="AB20" s="367">
        <f t="shared" si="10"/>
        <v>0</v>
      </c>
      <c r="AC20" s="368">
        <f t="shared" si="11"/>
        <v>0</v>
      </c>
      <c r="AD20" s="362">
        <f t="shared" si="12"/>
        <v>0</v>
      </c>
    </row>
    <row r="21" spans="1:30" x14ac:dyDescent="0.25">
      <c r="A21" s="284" t="s">
        <v>565</v>
      </c>
      <c r="B21" s="339" t="s">
        <v>556</v>
      </c>
      <c r="C21" s="343">
        <f>SUMIF(CALC_Funding!$H:$H,$B21,CALC_Funding!L:L)/INP_Assumptions!$C$19</f>
        <v>0.05</v>
      </c>
      <c r="D21" s="344">
        <f>SUMIF(CALC_Funding!$H:$H,$B21,CALC_Funding!M:M)/INP_Assumptions!$C$19</f>
        <v>0.05</v>
      </c>
      <c r="E21" s="344">
        <f>SUMIF(CALC_Funding!$H:$H,$B21,CALC_Funding!N:N)/INP_Assumptions!$C$19</f>
        <v>0.05</v>
      </c>
      <c r="F21" s="344">
        <f>SUMIF(CALC_Funding!$H:$H,$B21,CALC_Funding!O:O)/INP_Assumptions!$C$19</f>
        <v>0.05</v>
      </c>
      <c r="G21" s="344">
        <f>SUMIF(CALC_Funding!$H:$H,$B21,CALC_Funding!P:P)/INP_Assumptions!$C$19</f>
        <v>0</v>
      </c>
      <c r="H21" s="344">
        <f>SUMIF(CALC_Funding!$H:$H,$B21,CALC_Funding!Q:Q)/INP_Assumptions!$C$19</f>
        <v>0</v>
      </c>
      <c r="I21" s="344">
        <f>SUMIF(CALC_Funding!$H:$H,$B21,CALC_Funding!R:R)/INP_Assumptions!$C$19</f>
        <v>0</v>
      </c>
      <c r="J21" s="345">
        <f>SUMIF(CALC_Funding!$H:$H,$B21,CALC_Funding!S:S)/INP_Assumptions!$C$19</f>
        <v>0.2</v>
      </c>
      <c r="K21" s="78"/>
      <c r="L21" s="84">
        <f>SUMIF(CALC_Funding!$H:$H,$B21,CALC_Funding!AI:AI)/INP_Assumptions!$C$19</f>
        <v>0</v>
      </c>
      <c r="M21" s="81">
        <f>SUMIF(CALC_Funding!$H:$H,$B21,CALC_Funding!AJ:AJ)/INP_Assumptions!$C$19</f>
        <v>0</v>
      </c>
      <c r="N21" s="81">
        <f>SUMIF(CALC_Funding!$H:$H,$B21,CALC_Funding!AK:AK)/INP_Assumptions!$C$19</f>
        <v>0.2</v>
      </c>
      <c r="O21" s="81">
        <f>SUMIF(CALC_Funding!$H:$H,$B21,CALC_Funding!AL:AL)/INP_Assumptions!$C$19</f>
        <v>0</v>
      </c>
      <c r="P21" s="81">
        <f>SUMIF(CALC_Funding!$H:$H,$B21,CALC_Funding!AM:AM)/INP_Assumptions!$C$19</f>
        <v>0</v>
      </c>
      <c r="Q21" s="81">
        <f>SUMIF(CALC_Funding!$H:$H,$B21,CALC_Funding!AN:AN)/INP_Assumptions!$C$19</f>
        <v>0</v>
      </c>
      <c r="R21" s="81">
        <f>SUMIF(CALC_Funding!$H:$H,$B21,CALC_Funding!AO:AO)/INP_Assumptions!$C$19</f>
        <v>0</v>
      </c>
      <c r="S21" s="338">
        <f>SUMIF(CALC_Funding!$H:$H,$B21,CALC_Funding!AP:AP)/INP_Assumptions!$C$19</f>
        <v>0</v>
      </c>
      <c r="T21" s="328">
        <f t="shared" si="2"/>
        <v>0.2</v>
      </c>
      <c r="U21" s="80"/>
      <c r="V21" s="335">
        <f t="shared" si="4"/>
        <v>0</v>
      </c>
      <c r="W21" s="366">
        <f t="shared" si="5"/>
        <v>0</v>
      </c>
      <c r="X21" s="367">
        <f t="shared" si="6"/>
        <v>0</v>
      </c>
      <c r="Y21" s="367">
        <f t="shared" si="7"/>
        <v>0</v>
      </c>
      <c r="Z21" s="367">
        <f t="shared" si="8"/>
        <v>0</v>
      </c>
      <c r="AA21" s="367">
        <f t="shared" si="9"/>
        <v>0</v>
      </c>
      <c r="AB21" s="367">
        <f t="shared" si="10"/>
        <v>0</v>
      </c>
      <c r="AC21" s="368">
        <f t="shared" si="11"/>
        <v>0</v>
      </c>
      <c r="AD21" s="362">
        <f t="shared" si="12"/>
        <v>0</v>
      </c>
    </row>
    <row r="22" spans="1:30" x14ac:dyDescent="0.25">
      <c r="A22" s="284" t="s">
        <v>564</v>
      </c>
      <c r="B22" s="339" t="s">
        <v>557</v>
      </c>
      <c r="C22" s="343">
        <f>SUMIF(CALC_Funding!$H:$H,$B22,CALC_Funding!L:L)/INP_Assumptions!$C$19</f>
        <v>0.48312249999999995</v>
      </c>
      <c r="D22" s="344">
        <f>SUMIF(CALC_Funding!$H:$H,$B22,CALC_Funding!M:M)/INP_Assumptions!$C$19</f>
        <v>0.94349249999999985</v>
      </c>
      <c r="E22" s="344">
        <f>SUMIF(CALC_Funding!$H:$H,$B22,CALC_Funding!N:N)/INP_Assumptions!$C$19</f>
        <v>0.23173500000000002</v>
      </c>
      <c r="F22" s="344">
        <f>SUMIF(CALC_Funding!$H:$H,$B22,CALC_Funding!O:O)/INP_Assumptions!$C$19</f>
        <v>0</v>
      </c>
      <c r="G22" s="344">
        <f>SUMIF(CALC_Funding!$H:$H,$B22,CALC_Funding!P:P)/INP_Assumptions!$C$19</f>
        <v>0</v>
      </c>
      <c r="H22" s="344">
        <f>SUMIF(CALC_Funding!$H:$H,$B22,CALC_Funding!Q:Q)/INP_Assumptions!$C$19</f>
        <v>0</v>
      </c>
      <c r="I22" s="344">
        <f>SUMIF(CALC_Funding!$H:$H,$B22,CALC_Funding!R:R)/INP_Assumptions!$C$19</f>
        <v>0</v>
      </c>
      <c r="J22" s="345">
        <f>SUMIF(CALC_Funding!$H:$H,$B22,CALC_Funding!S:S)/INP_Assumptions!$C$19</f>
        <v>1.6583499999999998</v>
      </c>
      <c r="K22" s="78"/>
      <c r="L22" s="84">
        <f>SUMIF(CALC_Funding!$H:$H,$B22,CALC_Funding!AI:AI)/INP_Assumptions!$C$19</f>
        <v>3.0999999999999999E-3</v>
      </c>
      <c r="M22" s="81">
        <f>SUMIF(CALC_Funding!$H:$H,$B22,CALC_Funding!AJ:AJ)/INP_Assumptions!$C$19</f>
        <v>0</v>
      </c>
      <c r="N22" s="81">
        <f>SUMIF(CALC_Funding!$H:$H,$B22,CALC_Funding!AK:AK)/INP_Assumptions!$C$19</f>
        <v>1.4669999999999999</v>
      </c>
      <c r="O22" s="81">
        <f>SUMIF(CALC_Funding!$H:$H,$B22,CALC_Funding!AL:AL)/INP_Assumptions!$C$19</f>
        <v>0.18824999999999997</v>
      </c>
      <c r="P22" s="81">
        <f>SUMIF(CALC_Funding!$H:$H,$B22,CALC_Funding!AM:AM)/INP_Assumptions!$C$19</f>
        <v>0</v>
      </c>
      <c r="Q22" s="81">
        <f>SUMIF(CALC_Funding!$H:$H,$B22,CALC_Funding!AN:AN)/INP_Assumptions!$C$19</f>
        <v>0</v>
      </c>
      <c r="R22" s="81">
        <f>SUMIF(CALC_Funding!$H:$H,$B22,CALC_Funding!AO:AO)/INP_Assumptions!$C$19</f>
        <v>0</v>
      </c>
      <c r="S22" s="338">
        <f>SUMIF(CALC_Funding!$H:$H,$B22,CALC_Funding!AP:AP)/INP_Assumptions!$C$19</f>
        <v>0</v>
      </c>
      <c r="T22" s="328">
        <f t="shared" si="2"/>
        <v>1.65835</v>
      </c>
      <c r="U22" s="80"/>
      <c r="V22" s="335">
        <f t="shared" si="4"/>
        <v>0.18824999999999997</v>
      </c>
      <c r="W22" s="366">
        <f t="shared" si="5"/>
        <v>5.4842349700003006E-2</v>
      </c>
      <c r="X22" s="367">
        <f t="shared" si="6"/>
        <v>0.10710191643802572</v>
      </c>
      <c r="Y22" s="367">
        <f t="shared" si="7"/>
        <v>2.6305733861971239E-2</v>
      </c>
      <c r="Z22" s="367">
        <f t="shared" si="8"/>
        <v>0</v>
      </c>
      <c r="AA22" s="367">
        <f t="shared" si="9"/>
        <v>0</v>
      </c>
      <c r="AB22" s="367">
        <f t="shared" si="10"/>
        <v>0</v>
      </c>
      <c r="AC22" s="368">
        <f t="shared" si="11"/>
        <v>0</v>
      </c>
      <c r="AD22" s="362">
        <f t="shared" si="12"/>
        <v>0.18824999999999997</v>
      </c>
    </row>
    <row r="23" spans="1:30" x14ac:dyDescent="0.25">
      <c r="A23" s="284" t="s">
        <v>566</v>
      </c>
      <c r="B23" s="339" t="s">
        <v>558</v>
      </c>
      <c r="C23" s="343">
        <f>SUMIF(CALC_Funding!$H:$H,$B23,CALC_Funding!L:L)/INP_Assumptions!$C$19</f>
        <v>6.5489249999999999E-2</v>
      </c>
      <c r="D23" s="344">
        <f>SUMIF(CALC_Funding!$H:$H,$B23,CALC_Funding!M:M)/INP_Assumptions!$C$19</f>
        <v>0.12872024999999998</v>
      </c>
      <c r="E23" s="344">
        <f>SUMIF(CALC_Funding!$H:$H,$B23,CALC_Funding!N:N)/INP_Assumptions!$C$19</f>
        <v>3.1615500000000005E-2</v>
      </c>
      <c r="F23" s="344">
        <f>SUMIF(CALC_Funding!$H:$H,$B23,CALC_Funding!O:O)/INP_Assumptions!$C$19</f>
        <v>0</v>
      </c>
      <c r="G23" s="344">
        <f>SUMIF(CALC_Funding!$H:$H,$B23,CALC_Funding!P:P)/INP_Assumptions!$C$19</f>
        <v>0</v>
      </c>
      <c r="H23" s="344">
        <f>SUMIF(CALC_Funding!$H:$H,$B23,CALC_Funding!Q:Q)/INP_Assumptions!$C$19</f>
        <v>0</v>
      </c>
      <c r="I23" s="344">
        <f>SUMIF(CALC_Funding!$H:$H,$B23,CALC_Funding!R:R)/INP_Assumptions!$C$19</f>
        <v>0</v>
      </c>
      <c r="J23" s="345">
        <f>SUMIF(CALC_Funding!$H:$H,$B23,CALC_Funding!S:S)/INP_Assumptions!$C$19</f>
        <v>0.22582499999999997</v>
      </c>
      <c r="K23" s="78"/>
      <c r="L23" s="84">
        <f>SUMIF(CALC_Funding!$H:$H,$B23,CALC_Funding!AI:AI)/INP_Assumptions!$C$19</f>
        <v>0</v>
      </c>
      <c r="M23" s="81">
        <f>SUMIF(CALC_Funding!$H:$H,$B23,CALC_Funding!AJ:AJ)/INP_Assumptions!$C$19</f>
        <v>0</v>
      </c>
      <c r="N23" s="81">
        <f>SUMIF(CALC_Funding!$H:$H,$B23,CALC_Funding!AK:AK)/INP_Assumptions!$C$19</f>
        <v>0.21999999999999997</v>
      </c>
      <c r="O23" s="81">
        <f>SUMIF(CALC_Funding!$H:$H,$B23,CALC_Funding!AL:AL)/INP_Assumptions!$C$19</f>
        <v>5.8249999999999994E-3</v>
      </c>
      <c r="P23" s="81">
        <f>SUMIF(CALC_Funding!$H:$H,$B23,CALC_Funding!AM:AM)/INP_Assumptions!$C$19</f>
        <v>0</v>
      </c>
      <c r="Q23" s="81">
        <f>SUMIF(CALC_Funding!$H:$H,$B23,CALC_Funding!AN:AN)/INP_Assumptions!$C$19</f>
        <v>0</v>
      </c>
      <c r="R23" s="81">
        <f>SUMIF(CALC_Funding!$H:$H,$B23,CALC_Funding!AO:AO)/INP_Assumptions!$C$19</f>
        <v>0</v>
      </c>
      <c r="S23" s="338">
        <f>SUMIF(CALC_Funding!$H:$H,$B23,CALC_Funding!AP:AP)/INP_Assumptions!$C$19</f>
        <v>0</v>
      </c>
      <c r="T23" s="328">
        <f t="shared" si="2"/>
        <v>0.22582499999999997</v>
      </c>
      <c r="U23" s="80"/>
      <c r="V23" s="335">
        <f t="shared" si="4"/>
        <v>5.8249999999999994E-3</v>
      </c>
      <c r="W23" s="366">
        <f t="shared" si="5"/>
        <v>1.68925E-3</v>
      </c>
      <c r="X23" s="367">
        <f t="shared" si="6"/>
        <v>3.3202499999999994E-3</v>
      </c>
      <c r="Y23" s="367">
        <f t="shared" si="7"/>
        <v>8.1550000000000014E-4</v>
      </c>
      <c r="Z23" s="367">
        <f t="shared" si="8"/>
        <v>0</v>
      </c>
      <c r="AA23" s="367">
        <f t="shared" si="9"/>
        <v>0</v>
      </c>
      <c r="AB23" s="367">
        <f t="shared" si="10"/>
        <v>0</v>
      </c>
      <c r="AC23" s="368">
        <f t="shared" si="11"/>
        <v>0</v>
      </c>
      <c r="AD23" s="362">
        <f t="shared" si="12"/>
        <v>5.8249999999999994E-3</v>
      </c>
    </row>
    <row r="24" spans="1:30" x14ac:dyDescent="0.25">
      <c r="A24" s="284" t="s">
        <v>563</v>
      </c>
      <c r="B24" s="339" t="s">
        <v>561</v>
      </c>
      <c r="C24" s="343">
        <f>SUMIF(CALC_Funding!$H:$H,$B24,CALC_Funding!L:L)/INP_Assumptions!$C$19</f>
        <v>0</v>
      </c>
      <c r="D24" s="344">
        <f>SUMIF(CALC_Funding!$H:$H,$B24,CALC_Funding!M:M)/INP_Assumptions!$C$19</f>
        <v>4.0916572200000001</v>
      </c>
      <c r="E24" s="344">
        <f>SUMIF(CALC_Funding!$H:$H,$B24,CALC_Funding!N:N)/INP_Assumptions!$C$19</f>
        <v>6.8912121600000011</v>
      </c>
      <c r="F24" s="344">
        <f>SUMIF(CALC_Funding!$H:$H,$B24,CALC_Funding!O:O)/INP_Assumptions!$C$19</f>
        <v>5.1684091200000006</v>
      </c>
      <c r="G24" s="344">
        <f>SUMIF(CALC_Funding!$H:$H,$B24,CALC_Funding!P:P)/INP_Assumptions!$C$19</f>
        <v>3.4456060800000006</v>
      </c>
      <c r="H24" s="344">
        <f>SUMIF(CALC_Funding!$H:$H,$B24,CALC_Funding!Q:Q)/INP_Assumptions!$C$19</f>
        <v>1.7228030400000003</v>
      </c>
      <c r="I24" s="344">
        <f>SUMIF(CALC_Funding!$H:$H,$B24,CALC_Funding!R:R)/INP_Assumptions!$C$19</f>
        <v>0.21535038000000004</v>
      </c>
      <c r="J24" s="345">
        <f>SUMIF(CALC_Funding!$H:$H,$B24,CALC_Funding!S:S)/INP_Assumptions!$C$19</f>
        <v>21.535038000000004</v>
      </c>
      <c r="K24" s="78"/>
      <c r="L24" s="84">
        <f>SUMIF(CALC_Funding!$H:$H,$B24,CALC_Funding!AI:AI)/INP_Assumptions!$C$19</f>
        <v>0</v>
      </c>
      <c r="M24" s="81">
        <f>SUMIF(CALC_Funding!$H:$H,$B24,CALC_Funding!AJ:AJ)/INP_Assumptions!$C$19</f>
        <v>0</v>
      </c>
      <c r="N24" s="81">
        <f>SUMIF(CALC_Funding!$H:$H,$B24,CALC_Funding!AK:AK)/INP_Assumptions!$C$19</f>
        <v>12.450438000000004</v>
      </c>
      <c r="O24" s="81">
        <f>SUMIF(CALC_Funding!$H:$H,$B24,CALC_Funding!AL:AL)/INP_Assumptions!$C$19</f>
        <v>9.0846</v>
      </c>
      <c r="P24" s="81">
        <f>SUMIF(CALC_Funding!$H:$H,$B24,CALC_Funding!AM:AM)/INP_Assumptions!$C$19</f>
        <v>0</v>
      </c>
      <c r="Q24" s="81">
        <f>SUMIF(CALC_Funding!$H:$H,$B24,CALC_Funding!AN:AN)/INP_Assumptions!$C$19</f>
        <v>0</v>
      </c>
      <c r="R24" s="81">
        <f>SUMIF(CALC_Funding!$H:$H,$B24,CALC_Funding!AO:AO)/INP_Assumptions!$C$19</f>
        <v>0</v>
      </c>
      <c r="S24" s="338">
        <f>SUMIF(CALC_Funding!$H:$H,$B24,CALC_Funding!AP:AP)/INP_Assumptions!$C$19</f>
        <v>0</v>
      </c>
      <c r="T24" s="328">
        <f t="shared" si="2"/>
        <v>21.535038000000004</v>
      </c>
      <c r="U24" s="80"/>
      <c r="V24" s="335">
        <f t="shared" si="4"/>
        <v>9.0846</v>
      </c>
      <c r="W24" s="366">
        <f t="shared" si="5"/>
        <v>0</v>
      </c>
      <c r="X24" s="367">
        <f t="shared" si="6"/>
        <v>1.7260739999999997</v>
      </c>
      <c r="Y24" s="367">
        <f t="shared" si="7"/>
        <v>2.9070719999999999</v>
      </c>
      <c r="Z24" s="367">
        <f t="shared" si="8"/>
        <v>2.180304</v>
      </c>
      <c r="AA24" s="367">
        <f t="shared" si="9"/>
        <v>1.4535359999999999</v>
      </c>
      <c r="AB24" s="367">
        <f t="shared" si="10"/>
        <v>0.72676799999999997</v>
      </c>
      <c r="AC24" s="368">
        <f t="shared" si="11"/>
        <v>9.0845999999999996E-2</v>
      </c>
      <c r="AD24" s="362">
        <f t="shared" si="12"/>
        <v>9.0846</v>
      </c>
    </row>
    <row r="25" spans="1:30" x14ac:dyDescent="0.25">
      <c r="A25" s="284" t="s">
        <v>563</v>
      </c>
      <c r="B25" s="339" t="s">
        <v>539</v>
      </c>
      <c r="C25" s="343">
        <f>SUMIF(CALC_Funding!$H:$H,$B25,CALC_Funding!L:L)/INP_Assumptions!$C$19</f>
        <v>0</v>
      </c>
      <c r="D25" s="344">
        <f>SUMIF(CALC_Funding!$H:$H,$B25,CALC_Funding!M:M)/INP_Assumptions!$C$19</f>
        <v>0.13339999999999999</v>
      </c>
      <c r="E25" s="344">
        <f>SUMIF(CALC_Funding!$H:$H,$B25,CALC_Funding!N:N)/INP_Assumptions!$C$19</f>
        <v>0</v>
      </c>
      <c r="F25" s="344">
        <f>SUMIF(CALC_Funding!$H:$H,$B25,CALC_Funding!O:O)/INP_Assumptions!$C$19</f>
        <v>0</v>
      </c>
      <c r="G25" s="344">
        <f>SUMIF(CALC_Funding!$H:$H,$B25,CALC_Funding!P:P)/INP_Assumptions!$C$19</f>
        <v>0</v>
      </c>
      <c r="H25" s="344">
        <f>SUMIF(CALC_Funding!$H:$H,$B25,CALC_Funding!Q:Q)/INP_Assumptions!$C$19</f>
        <v>0</v>
      </c>
      <c r="I25" s="344">
        <f>SUMIF(CALC_Funding!$H:$H,$B25,CALC_Funding!R:R)/INP_Assumptions!$C$19</f>
        <v>0</v>
      </c>
      <c r="J25" s="345">
        <f>SUMIF(CALC_Funding!$H:$H,$B25,CALC_Funding!S:S)/INP_Assumptions!$C$19</f>
        <v>0.13339999999999999</v>
      </c>
      <c r="K25" s="78"/>
      <c r="L25" s="84">
        <f>SUMIF(CALC_Funding!$H:$H,$B25,CALC_Funding!AI:AI)/INP_Assumptions!$C$19</f>
        <v>0</v>
      </c>
      <c r="M25" s="81">
        <f>SUMIF(CALC_Funding!$H:$H,$B25,CALC_Funding!AJ:AJ)/INP_Assumptions!$C$19</f>
        <v>0</v>
      </c>
      <c r="N25" s="81">
        <f>SUMIF(CALC_Funding!$H:$H,$B25,CALC_Funding!AK:AK)/INP_Assumptions!$C$19</f>
        <v>0.13339999999999999</v>
      </c>
      <c r="O25" s="81">
        <f>SUMIF(CALC_Funding!$H:$H,$B25,CALC_Funding!AL:AL)/INP_Assumptions!$C$19</f>
        <v>0</v>
      </c>
      <c r="P25" s="81">
        <f>SUMIF(CALC_Funding!$H:$H,$B25,CALC_Funding!AM:AM)/INP_Assumptions!$C$19</f>
        <v>0</v>
      </c>
      <c r="Q25" s="81">
        <f>SUMIF(CALC_Funding!$H:$H,$B25,CALC_Funding!AN:AN)/INP_Assumptions!$C$19</f>
        <v>0</v>
      </c>
      <c r="R25" s="81">
        <f>SUMIF(CALC_Funding!$H:$H,$B25,CALC_Funding!AO:AO)/INP_Assumptions!$C$19</f>
        <v>0</v>
      </c>
      <c r="S25" s="338">
        <f>SUMIF(CALC_Funding!$H:$H,$B25,CALC_Funding!AP:AP)/INP_Assumptions!$C$19</f>
        <v>0</v>
      </c>
      <c r="T25" s="328">
        <f t="shared" si="2"/>
        <v>0.13339999999999999</v>
      </c>
      <c r="U25" s="80"/>
      <c r="V25" s="335">
        <f t="shared" si="4"/>
        <v>0</v>
      </c>
      <c r="W25" s="366">
        <f t="shared" si="5"/>
        <v>0</v>
      </c>
      <c r="X25" s="367">
        <f t="shared" si="6"/>
        <v>0</v>
      </c>
      <c r="Y25" s="367">
        <f t="shared" si="7"/>
        <v>0</v>
      </c>
      <c r="Z25" s="367">
        <f t="shared" si="8"/>
        <v>0</v>
      </c>
      <c r="AA25" s="367">
        <f t="shared" si="9"/>
        <v>0</v>
      </c>
      <c r="AB25" s="367">
        <f t="shared" si="10"/>
        <v>0</v>
      </c>
      <c r="AC25" s="368">
        <f t="shared" si="11"/>
        <v>0</v>
      </c>
      <c r="AD25" s="362">
        <f t="shared" si="12"/>
        <v>0</v>
      </c>
    </row>
    <row r="26" spans="1:30" x14ac:dyDescent="0.25">
      <c r="A26" s="284" t="s">
        <v>565</v>
      </c>
      <c r="B26" s="339" t="s">
        <v>547</v>
      </c>
      <c r="C26" s="343">
        <f>SUMIF(CALC_Funding!$H:$H,$B26,CALC_Funding!L:L)/INP_Assumptions!$C$19</f>
        <v>0</v>
      </c>
      <c r="D26" s="344">
        <f>SUMIF(CALC_Funding!$H:$H,$B26,CALC_Funding!M:M)/INP_Assumptions!$C$19</f>
        <v>0.40039999999999998</v>
      </c>
      <c r="E26" s="344">
        <f>SUMIF(CALC_Funding!$H:$H,$B26,CALC_Funding!N:N)/INP_Assumptions!$C$19</f>
        <v>0</v>
      </c>
      <c r="F26" s="344">
        <f>SUMIF(CALC_Funding!$H:$H,$B26,CALC_Funding!O:O)/INP_Assumptions!$C$19</f>
        <v>0</v>
      </c>
      <c r="G26" s="344">
        <f>SUMIF(CALC_Funding!$H:$H,$B26,CALC_Funding!P:P)/INP_Assumptions!$C$19</f>
        <v>0</v>
      </c>
      <c r="H26" s="344">
        <f>SUMIF(CALC_Funding!$H:$H,$B26,CALC_Funding!Q:Q)/INP_Assumptions!$C$19</f>
        <v>0</v>
      </c>
      <c r="I26" s="344">
        <f>SUMIF(CALC_Funding!$H:$H,$B26,CALC_Funding!R:R)/INP_Assumptions!$C$19</f>
        <v>0</v>
      </c>
      <c r="J26" s="345">
        <f>SUMIF(CALC_Funding!$H:$H,$B26,CALC_Funding!S:S)/INP_Assumptions!$C$19</f>
        <v>0.40039999999999998</v>
      </c>
      <c r="K26" s="78"/>
      <c r="L26" s="84">
        <f>SUMIF(CALC_Funding!$H:$H,$B26,CALC_Funding!AI:AI)/INP_Assumptions!$C$19</f>
        <v>0</v>
      </c>
      <c r="M26" s="81">
        <f>SUMIF(CALC_Funding!$H:$H,$B26,CALC_Funding!AJ:AJ)/INP_Assumptions!$C$19</f>
        <v>0</v>
      </c>
      <c r="N26" s="81">
        <f>SUMIF(CALC_Funding!$H:$H,$B26,CALC_Funding!AK:AK)/INP_Assumptions!$C$19</f>
        <v>0.40039999999999998</v>
      </c>
      <c r="O26" s="81">
        <f>SUMIF(CALC_Funding!$H:$H,$B26,CALC_Funding!AL:AL)/INP_Assumptions!$C$19</f>
        <v>0</v>
      </c>
      <c r="P26" s="81">
        <f>SUMIF(CALC_Funding!$H:$H,$B26,CALC_Funding!AM:AM)/INP_Assumptions!$C$19</f>
        <v>0</v>
      </c>
      <c r="Q26" s="81">
        <f>SUMIF(CALC_Funding!$H:$H,$B26,CALC_Funding!AN:AN)/INP_Assumptions!$C$19</f>
        <v>0</v>
      </c>
      <c r="R26" s="81">
        <f>SUMIF(CALC_Funding!$H:$H,$B26,CALC_Funding!AO:AO)/INP_Assumptions!$C$19</f>
        <v>0</v>
      </c>
      <c r="S26" s="338">
        <f>SUMIF(CALC_Funding!$H:$H,$B26,CALC_Funding!AP:AP)/INP_Assumptions!$C$19</f>
        <v>0</v>
      </c>
      <c r="T26" s="328">
        <f t="shared" si="2"/>
        <v>0.40039999999999998</v>
      </c>
      <c r="U26" s="80"/>
      <c r="V26" s="335">
        <f t="shared" si="4"/>
        <v>0</v>
      </c>
      <c r="W26" s="366">
        <f t="shared" si="5"/>
        <v>0</v>
      </c>
      <c r="X26" s="367">
        <f t="shared" si="6"/>
        <v>0</v>
      </c>
      <c r="Y26" s="367">
        <f t="shared" si="7"/>
        <v>0</v>
      </c>
      <c r="Z26" s="367">
        <f t="shared" si="8"/>
        <v>0</v>
      </c>
      <c r="AA26" s="367">
        <f t="shared" si="9"/>
        <v>0</v>
      </c>
      <c r="AB26" s="367">
        <f t="shared" si="10"/>
        <v>0</v>
      </c>
      <c r="AC26" s="368">
        <f t="shared" si="11"/>
        <v>0</v>
      </c>
      <c r="AD26" s="362">
        <f t="shared" si="12"/>
        <v>0</v>
      </c>
    </row>
    <row r="27" spans="1:30" x14ac:dyDescent="0.25">
      <c r="A27" s="284" t="s">
        <v>564</v>
      </c>
      <c r="B27" s="339" t="s">
        <v>559</v>
      </c>
      <c r="C27" s="343">
        <f>SUMIF(CALC_Funding!$H:$H,$B27,CALC_Funding!L:L)/INP_Assumptions!$C$19</f>
        <v>8.5085999999999995E-2</v>
      </c>
      <c r="D27" s="344">
        <f>SUMIF(CALC_Funding!$H:$H,$B27,CALC_Funding!M:M)/INP_Assumptions!$C$19</f>
        <v>0.83899275080000024</v>
      </c>
      <c r="E27" s="344">
        <f>SUMIF(CALC_Funding!$H:$H,$B27,CALC_Funding!N:N)/INP_Assumptions!$C$19</f>
        <v>1.1724524224000006</v>
      </c>
      <c r="F27" s="344">
        <f>SUMIF(CALC_Funding!$H:$H,$B27,CALC_Funding!O:O)/INP_Assumptions!$C$19</f>
        <v>0.84853231680000041</v>
      </c>
      <c r="G27" s="344">
        <f>SUMIF(CALC_Funding!$H:$H,$B27,CALC_Funding!P:P)/INP_Assumptions!$C$19</f>
        <v>0.56568821120000023</v>
      </c>
      <c r="H27" s="344">
        <f>SUMIF(CALC_Funding!$H:$H,$B27,CALC_Funding!Q:Q)/INP_Assumptions!$C$19</f>
        <v>0.28284410560000012</v>
      </c>
      <c r="I27" s="344">
        <f>SUMIF(CALC_Funding!$H:$H,$B27,CALC_Funding!R:R)/INP_Assumptions!$C$19</f>
        <v>3.5355513200000015E-2</v>
      </c>
      <c r="J27" s="345">
        <f>SUMIF(CALC_Funding!$H:$H,$B27,CALC_Funding!S:S)/INP_Assumptions!$C$19</f>
        <v>3.8289513200000012</v>
      </c>
      <c r="K27" s="78"/>
      <c r="L27" s="84">
        <f>SUMIF(CALC_Funding!$H:$H,$B27,CALC_Funding!AI:AI)/INP_Assumptions!$C$19</f>
        <v>0</v>
      </c>
      <c r="M27" s="81">
        <f>SUMIF(CALC_Funding!$H:$H,$B27,CALC_Funding!AJ:AJ)/INP_Assumptions!$C$19</f>
        <v>0</v>
      </c>
      <c r="N27" s="81">
        <f>SUMIF(CALC_Funding!$H:$H,$B27,CALC_Funding!AK:AK)/INP_Assumptions!$C$19</f>
        <v>1.9436763200000011</v>
      </c>
      <c r="O27" s="81">
        <f>SUMIF(CALC_Funding!$H:$H,$B27,CALC_Funding!AL:AL)/INP_Assumptions!$C$19</f>
        <v>1.8852750000000003</v>
      </c>
      <c r="P27" s="81">
        <f>SUMIF(CALC_Funding!$H:$H,$B27,CALC_Funding!AM:AM)/INP_Assumptions!$C$19</f>
        <v>0</v>
      </c>
      <c r="Q27" s="81">
        <f>SUMIF(CALC_Funding!$H:$H,$B27,CALC_Funding!AN:AN)/INP_Assumptions!$C$19</f>
        <v>0</v>
      </c>
      <c r="R27" s="81">
        <f>SUMIF(CALC_Funding!$H:$H,$B27,CALC_Funding!AO:AO)/INP_Assumptions!$C$19</f>
        <v>0</v>
      </c>
      <c r="S27" s="338">
        <f>SUMIF(CALC_Funding!$H:$H,$B27,CALC_Funding!AP:AP)/INP_Assumptions!$C$19</f>
        <v>0</v>
      </c>
      <c r="T27" s="328">
        <f t="shared" si="2"/>
        <v>3.8289513200000016</v>
      </c>
      <c r="U27" s="80"/>
      <c r="V27" s="335">
        <f t="shared" si="4"/>
        <v>1.8852750000000003</v>
      </c>
      <c r="W27" s="366">
        <f t="shared" si="5"/>
        <v>4.1894110225982176E-2</v>
      </c>
      <c r="X27" s="367">
        <f t="shared" si="6"/>
        <v>0.41309798064094222</v>
      </c>
      <c r="Y27" s="367">
        <f t="shared" si="7"/>
        <v>0.57728475917008015</v>
      </c>
      <c r="Z27" s="367">
        <f t="shared" si="8"/>
        <v>0.41779501222677351</v>
      </c>
      <c r="AA27" s="367">
        <f t="shared" si="9"/>
        <v>0.27853000815118228</v>
      </c>
      <c r="AB27" s="367">
        <f t="shared" si="10"/>
        <v>0.13926500407559114</v>
      </c>
      <c r="AC27" s="368">
        <f t="shared" si="11"/>
        <v>1.7408125509448893E-2</v>
      </c>
      <c r="AD27" s="362">
        <f t="shared" si="12"/>
        <v>1.8852750000000005</v>
      </c>
    </row>
    <row r="28" spans="1:30" ht="15.75" thickBot="1" x14ac:dyDescent="0.3">
      <c r="A28" s="284" t="s">
        <v>566</v>
      </c>
      <c r="B28" s="339" t="s">
        <v>560</v>
      </c>
      <c r="C28" s="343">
        <f>SUMIF(CALC_Funding!$H:$H,$B28,CALC_Funding!L:L)/INP_Assumptions!$C$19</f>
        <v>1.2760000000000001E-2</v>
      </c>
      <c r="D28" s="344">
        <f>SUMIF(CALC_Funding!$H:$H,$B28,CALC_Funding!M:M)/INP_Assumptions!$C$19</f>
        <v>2.5079999999999995E-2</v>
      </c>
      <c r="E28" s="344">
        <f>SUMIF(CALC_Funding!$H:$H,$B28,CALC_Funding!N:N)/INP_Assumptions!$C$19</f>
        <v>6.1600000000000005E-3</v>
      </c>
      <c r="F28" s="344">
        <f>SUMIF(CALC_Funding!$H:$H,$B28,CALC_Funding!O:O)/INP_Assumptions!$C$19</f>
        <v>0</v>
      </c>
      <c r="G28" s="344">
        <f>SUMIF(CALC_Funding!$H:$H,$B28,CALC_Funding!P:P)/INP_Assumptions!$C$19</f>
        <v>0</v>
      </c>
      <c r="H28" s="344">
        <f>SUMIF(CALC_Funding!$H:$H,$B28,CALC_Funding!Q:Q)/INP_Assumptions!$C$19</f>
        <v>0</v>
      </c>
      <c r="I28" s="344">
        <f>SUMIF(CALC_Funding!$H:$H,$B28,CALC_Funding!R:R)/INP_Assumptions!$C$19</f>
        <v>0</v>
      </c>
      <c r="J28" s="345">
        <f>SUMIF(CALC_Funding!$H:$H,$B28,CALC_Funding!S:S)/INP_Assumptions!$C$19</f>
        <v>4.3999999999999997E-2</v>
      </c>
      <c r="K28" s="78"/>
      <c r="L28" s="84">
        <f>SUMIF(CALC_Funding!$H:$H,$B28,CALC_Funding!AI:AI)/INP_Assumptions!$C$19</f>
        <v>0</v>
      </c>
      <c r="M28" s="81">
        <f>SUMIF(CALC_Funding!$H:$H,$B28,CALC_Funding!AJ:AJ)/INP_Assumptions!$C$19</f>
        <v>0</v>
      </c>
      <c r="N28" s="81">
        <f>SUMIF(CALC_Funding!$H:$H,$B28,CALC_Funding!AK:AK)/INP_Assumptions!$C$19</f>
        <v>4.3999999999999997E-2</v>
      </c>
      <c r="O28" s="81">
        <f>SUMIF(CALC_Funding!$H:$H,$B28,CALC_Funding!AL:AL)/INP_Assumptions!$C$19</f>
        <v>0</v>
      </c>
      <c r="P28" s="81">
        <f>SUMIF(CALC_Funding!$H:$H,$B28,CALC_Funding!AM:AM)/INP_Assumptions!$C$19</f>
        <v>0</v>
      </c>
      <c r="Q28" s="81">
        <f>SUMIF(CALC_Funding!$H:$H,$B28,CALC_Funding!AN:AN)/INP_Assumptions!$C$19</f>
        <v>0</v>
      </c>
      <c r="R28" s="81">
        <f>SUMIF(CALC_Funding!$H:$H,$B28,CALC_Funding!AO:AO)/INP_Assumptions!$C$19</f>
        <v>0</v>
      </c>
      <c r="S28" s="338">
        <f>SUMIF(CALC_Funding!$H:$H,$B28,CALC_Funding!AP:AP)/INP_Assumptions!$C$19</f>
        <v>0</v>
      </c>
      <c r="T28" s="328">
        <f t="shared" si="2"/>
        <v>4.3999999999999997E-2</v>
      </c>
      <c r="U28" s="80"/>
      <c r="V28" s="335">
        <f t="shared" si="4"/>
        <v>0</v>
      </c>
      <c r="W28" s="369">
        <f t="shared" si="5"/>
        <v>0</v>
      </c>
      <c r="X28" s="370">
        <f t="shared" si="6"/>
        <v>0</v>
      </c>
      <c r="Y28" s="370">
        <f t="shared" si="7"/>
        <v>0</v>
      </c>
      <c r="Z28" s="370">
        <f t="shared" si="8"/>
        <v>0</v>
      </c>
      <c r="AA28" s="370">
        <f t="shared" si="9"/>
        <v>0</v>
      </c>
      <c r="AB28" s="370">
        <f t="shared" si="10"/>
        <v>0</v>
      </c>
      <c r="AC28" s="371">
        <f t="shared" si="11"/>
        <v>0</v>
      </c>
      <c r="AD28" s="362">
        <f t="shared" si="12"/>
        <v>0</v>
      </c>
    </row>
    <row r="29" spans="1:30" ht="15.75" thickBot="1" x14ac:dyDescent="0.3">
      <c r="A29" s="284"/>
      <c r="B29" s="339"/>
      <c r="C29" s="343"/>
      <c r="D29" s="344"/>
      <c r="E29" s="344"/>
      <c r="F29" s="344"/>
      <c r="G29" s="344"/>
      <c r="H29" s="344"/>
      <c r="I29" s="344"/>
      <c r="J29" s="345"/>
      <c r="K29" s="78"/>
      <c r="L29" s="381"/>
      <c r="M29" s="382"/>
      <c r="N29" s="382"/>
      <c r="O29" s="382"/>
      <c r="P29" s="382"/>
      <c r="Q29" s="382"/>
      <c r="R29" s="382"/>
      <c r="S29" s="383"/>
      <c r="T29" s="328"/>
      <c r="U29" s="80"/>
      <c r="V29" s="335"/>
      <c r="W29" s="366"/>
      <c r="X29" s="367"/>
      <c r="Y29" s="367"/>
      <c r="Z29" s="367"/>
      <c r="AA29" s="367"/>
      <c r="AB29" s="367"/>
      <c r="AC29" s="368"/>
      <c r="AD29" s="362"/>
    </row>
    <row r="30" spans="1:30" ht="15.75" thickBot="1" x14ac:dyDescent="0.3">
      <c r="A30" s="384" t="s">
        <v>352</v>
      </c>
      <c r="B30" s="385" t="s">
        <v>562</v>
      </c>
      <c r="C30" s="351">
        <f>SUMIF(CALC_Funding!$H:$H,$B30,CALC_Funding!L:L)/INP_Assumptions!$C$19</f>
        <v>0</v>
      </c>
      <c r="D30" s="352">
        <f>SUMIF(CALC_Funding!$H:$H,$B30,CALC_Funding!M:M)/INP_Assumptions!$C$19</f>
        <v>0</v>
      </c>
      <c r="E30" s="352">
        <f>SUMIF(CALC_Funding!$H:$H,$B30,CALC_Funding!N:N)/INP_Assumptions!$C$19</f>
        <v>5.1319499999999998</v>
      </c>
      <c r="F30" s="352">
        <f>SUMIF(CALC_Funding!$H:$H,$B30,CALC_Funding!O:O)/INP_Assumptions!$C$19</f>
        <v>4.6306833333333328</v>
      </c>
      <c r="G30" s="352">
        <f>SUMIF(CALC_Funding!$H:$H,$B30,CALC_Funding!P:P)/INP_Assumptions!$C$19</f>
        <v>4.1294166666666667</v>
      </c>
      <c r="H30" s="352">
        <f>SUMIF(CALC_Funding!$H:$H,$B30,CALC_Funding!Q:Q)/INP_Assumptions!$C$19</f>
        <v>3.6389120547945213</v>
      </c>
      <c r="I30" s="352">
        <f>SUMIF(CALC_Funding!$H:$H,$B30,CALC_Funding!R:R)/INP_Assumptions!$C$19</f>
        <v>-0.40560000000000002</v>
      </c>
      <c r="J30" s="386">
        <f>SUMIF(CALC_Funding!$H:$H,$B30,CALC_Funding!S:S)/INP_Assumptions!$C$19</f>
        <v>17.125362054794522</v>
      </c>
      <c r="K30" s="387"/>
      <c r="L30" s="388">
        <f>SUMIF(CALC_Funding!$H:$H,$B30,CALC_Funding!AI:AI)/INP_Assumptions!$C$19</f>
        <v>0</v>
      </c>
      <c r="M30" s="389">
        <f>SUMIF(CALC_Funding!$H:$H,$B30,CALC_Funding!AJ:AJ)/INP_Assumptions!$C$19</f>
        <v>0</v>
      </c>
      <c r="N30" s="389">
        <f>SUMIF(CALC_Funding!$H:$H,$B30,CALC_Funding!AK:AK)/INP_Assumptions!$C$19</f>
        <v>0.93654810273972611</v>
      </c>
      <c r="O30" s="389">
        <f>SUMIF(CALC_Funding!$H:$H,$B30,CALC_Funding!AL:AL)/INP_Assumptions!$C$19</f>
        <v>0</v>
      </c>
      <c r="P30" s="389">
        <f>SUMIF(CALC_Funding!$H:$H,$B30,CALC_Funding!AM:AM)/INP_Assumptions!$C$19</f>
        <v>0</v>
      </c>
      <c r="Q30" s="389">
        <f>SUMIF(CALC_Funding!$H:$H,$B30,CALC_Funding!AN:AN)/INP_Assumptions!$C$19</f>
        <v>16.188813952054794</v>
      </c>
      <c r="R30" s="389">
        <f>SUMIF(CALC_Funding!$H:$H,$B30,CALC_Funding!AO:AO)/INP_Assumptions!$C$19</f>
        <v>0</v>
      </c>
      <c r="S30" s="390">
        <f>SUMIF(CALC_Funding!$H:$H,$B30,CALC_Funding!AP:AP)/INP_Assumptions!$C$19</f>
        <v>0</v>
      </c>
      <c r="T30" s="391">
        <f t="shared" si="2"/>
        <v>17.125362054794518</v>
      </c>
      <c r="U30" s="80"/>
      <c r="V30" s="335">
        <f t="shared" si="4"/>
        <v>0</v>
      </c>
      <c r="W30" s="369">
        <f t="shared" si="5"/>
        <v>0</v>
      </c>
      <c r="X30" s="370">
        <f t="shared" si="6"/>
        <v>0</v>
      </c>
      <c r="Y30" s="370">
        <f t="shared" si="7"/>
        <v>0</v>
      </c>
      <c r="Z30" s="370">
        <f t="shared" si="8"/>
        <v>0</v>
      </c>
      <c r="AA30" s="370">
        <f t="shared" si="9"/>
        <v>0</v>
      </c>
      <c r="AB30" s="370">
        <f t="shared" si="10"/>
        <v>0</v>
      </c>
      <c r="AC30" s="371">
        <f t="shared" si="11"/>
        <v>0</v>
      </c>
      <c r="AD30" s="362">
        <f t="shared" si="12"/>
        <v>0</v>
      </c>
    </row>
    <row r="31" spans="1:30" x14ac:dyDescent="0.25">
      <c r="A31" s="23"/>
      <c r="V31" s="335"/>
    </row>
    <row r="32" spans="1:30" x14ac:dyDescent="0.25">
      <c r="A32" s="23"/>
      <c r="B32" s="575" t="s">
        <v>734</v>
      </c>
      <c r="V32" s="335"/>
    </row>
    <row r="33" spans="1:31" x14ac:dyDescent="0.25">
      <c r="A33" s="23"/>
      <c r="V33" s="335"/>
    </row>
    <row r="34" spans="1:31" ht="15.75" thickBot="1" x14ac:dyDescent="0.3">
      <c r="A34" s="23"/>
      <c r="B34" s="32" t="s">
        <v>569</v>
      </c>
      <c r="C34" s="40">
        <f>C3</f>
        <v>2019</v>
      </c>
      <c r="D34" s="40">
        <f t="shared" ref="D34:J34" si="13">D3</f>
        <v>2020</v>
      </c>
      <c r="E34" s="40">
        <f t="shared" si="13"/>
        <v>2021</v>
      </c>
      <c r="F34" s="40">
        <f t="shared" si="13"/>
        <v>2022</v>
      </c>
      <c r="G34" s="40">
        <f t="shared" si="13"/>
        <v>2023</v>
      </c>
      <c r="H34" s="40">
        <f t="shared" si="13"/>
        <v>2024</v>
      </c>
      <c r="I34" s="40" t="str">
        <f t="shared" si="13"/>
        <v>2025 &amp; beyond</v>
      </c>
      <c r="J34" s="40" t="str">
        <f t="shared" si="13"/>
        <v>Total Cost (undiscounted)</v>
      </c>
      <c r="V34" s="335"/>
    </row>
    <row r="35" spans="1:31" x14ac:dyDescent="0.25">
      <c r="A35" s="284" t="s">
        <v>564</v>
      </c>
      <c r="C35" s="335">
        <f t="shared" ref="C35:J38" si="14">SUMIF($A$4:$A$30,$A35,C$4:C$30)</f>
        <v>0.72020849999999992</v>
      </c>
      <c r="D35" s="335">
        <f t="shared" si="14"/>
        <v>1.8894852508</v>
      </c>
      <c r="E35" s="335">
        <f t="shared" si="14"/>
        <v>1.7271874224000006</v>
      </c>
      <c r="F35" s="335">
        <f t="shared" si="14"/>
        <v>1.1715323168000005</v>
      </c>
      <c r="G35" s="335">
        <f t="shared" si="14"/>
        <v>0.7816882112000002</v>
      </c>
      <c r="H35" s="335">
        <f t="shared" si="14"/>
        <v>0.49884410560000014</v>
      </c>
      <c r="I35" s="335">
        <f t="shared" si="14"/>
        <v>3.5355513200000015E-2</v>
      </c>
      <c r="J35" s="335">
        <f t="shared" si="14"/>
        <v>6.8243013200000009</v>
      </c>
      <c r="L35" s="340">
        <f t="shared" ref="L35:T38" si="15">SUMIF($A$4:$A$30,$A35,L$4:L$30)</f>
        <v>4.8099999999999997E-2</v>
      </c>
      <c r="M35" s="341">
        <f t="shared" si="15"/>
        <v>0</v>
      </c>
      <c r="N35" s="341">
        <f t="shared" si="15"/>
        <v>4.702676320000001</v>
      </c>
      <c r="O35" s="341">
        <f t="shared" si="15"/>
        <v>2.0735250000000001</v>
      </c>
      <c r="P35" s="341">
        <f t="shared" si="15"/>
        <v>0</v>
      </c>
      <c r="Q35" s="341">
        <f t="shared" si="15"/>
        <v>0</v>
      </c>
      <c r="R35" s="341">
        <f t="shared" si="15"/>
        <v>0</v>
      </c>
      <c r="S35" s="348">
        <f t="shared" si="15"/>
        <v>0</v>
      </c>
      <c r="T35" s="348">
        <f t="shared" si="15"/>
        <v>6.8243013200000018</v>
      </c>
      <c r="V35" s="373">
        <f t="shared" ref="V35:AD38" si="16">SUMIF($A$4:$A$30,$A35,V$4:V$30)</f>
        <v>2.0735250000000001</v>
      </c>
      <c r="W35" s="374">
        <f t="shared" si="16"/>
        <v>9.6736459925985174E-2</v>
      </c>
      <c r="X35" s="374">
        <f t="shared" si="16"/>
        <v>0.52019989707896797</v>
      </c>
      <c r="Y35" s="374">
        <f t="shared" si="16"/>
        <v>0.60359049303205137</v>
      </c>
      <c r="Z35" s="374">
        <f t="shared" si="16"/>
        <v>0.41779501222677351</v>
      </c>
      <c r="AA35" s="374">
        <f t="shared" si="16"/>
        <v>0.27853000815118228</v>
      </c>
      <c r="AB35" s="374">
        <f t="shared" si="16"/>
        <v>0.13926500407559114</v>
      </c>
      <c r="AC35" s="374">
        <f t="shared" si="16"/>
        <v>1.7408125509448893E-2</v>
      </c>
      <c r="AD35" s="375">
        <f t="shared" si="16"/>
        <v>2.0735250000000005</v>
      </c>
    </row>
    <row r="36" spans="1:31" x14ac:dyDescent="0.25">
      <c r="A36" s="284" t="s">
        <v>563</v>
      </c>
      <c r="C36" s="335">
        <f t="shared" si="14"/>
        <v>8.9481500000000018</v>
      </c>
      <c r="D36" s="335">
        <f t="shared" si="14"/>
        <v>14.89425722</v>
      </c>
      <c r="E36" s="335">
        <f t="shared" si="14"/>
        <v>9.9226621600000016</v>
      </c>
      <c r="F36" s="335">
        <f t="shared" si="14"/>
        <v>5.3871091200000008</v>
      </c>
      <c r="G36" s="335">
        <f t="shared" si="14"/>
        <v>3.4456060800000006</v>
      </c>
      <c r="H36" s="335">
        <f t="shared" si="14"/>
        <v>1.7228030400000003</v>
      </c>
      <c r="I36" s="335">
        <f t="shared" si="14"/>
        <v>0.21535038000000004</v>
      </c>
      <c r="J36" s="335">
        <f t="shared" si="14"/>
        <v>44.535938000000009</v>
      </c>
      <c r="L36" s="343">
        <f t="shared" si="15"/>
        <v>1.1990000000000001</v>
      </c>
      <c r="M36" s="344">
        <f t="shared" si="15"/>
        <v>1.7625</v>
      </c>
      <c r="N36" s="344">
        <f t="shared" si="15"/>
        <v>20.217338000000005</v>
      </c>
      <c r="O36" s="344">
        <f t="shared" si="15"/>
        <v>12.849599999999999</v>
      </c>
      <c r="P36" s="344">
        <f t="shared" si="15"/>
        <v>3</v>
      </c>
      <c r="Q36" s="344">
        <f t="shared" si="15"/>
        <v>0.26250000000000001</v>
      </c>
      <c r="R36" s="344">
        <f t="shared" si="15"/>
        <v>5.2450000000000001</v>
      </c>
      <c r="S36" s="349">
        <f t="shared" si="15"/>
        <v>0</v>
      </c>
      <c r="T36" s="349">
        <f t="shared" si="15"/>
        <v>44.535938000000009</v>
      </c>
      <c r="V36" s="376">
        <f t="shared" si="16"/>
        <v>12.849599999999999</v>
      </c>
      <c r="W36" s="372">
        <f t="shared" si="16"/>
        <v>1.0120364583333332</v>
      </c>
      <c r="X36" s="372">
        <f t="shared" si="16"/>
        <v>3.6980496944444443</v>
      </c>
      <c r="Y36" s="372">
        <f t="shared" si="16"/>
        <v>3.6880598472222221</v>
      </c>
      <c r="Z36" s="372">
        <f t="shared" si="16"/>
        <v>2.180304</v>
      </c>
      <c r="AA36" s="372">
        <f t="shared" si="16"/>
        <v>1.4535359999999999</v>
      </c>
      <c r="AB36" s="372">
        <f t="shared" si="16"/>
        <v>0.72676799999999997</v>
      </c>
      <c r="AC36" s="372">
        <f t="shared" si="16"/>
        <v>9.0845999999999996E-2</v>
      </c>
      <c r="AD36" s="377">
        <f t="shared" si="16"/>
        <v>12.849599999999999</v>
      </c>
    </row>
    <row r="37" spans="1:31" x14ac:dyDescent="0.25">
      <c r="A37" s="284" t="s">
        <v>566</v>
      </c>
      <c r="C37" s="335">
        <f t="shared" si="14"/>
        <v>0.16624924999999999</v>
      </c>
      <c r="D37" s="335">
        <f t="shared" si="14"/>
        <v>0.24180024999999997</v>
      </c>
      <c r="E37" s="335">
        <f t="shared" si="14"/>
        <v>0.12577550000000001</v>
      </c>
      <c r="F37" s="335">
        <f t="shared" si="14"/>
        <v>8.7999999999999995E-2</v>
      </c>
      <c r="G37" s="335">
        <f t="shared" si="14"/>
        <v>0</v>
      </c>
      <c r="H37" s="335">
        <f t="shared" si="14"/>
        <v>0</v>
      </c>
      <c r="I37" s="335">
        <f t="shared" si="14"/>
        <v>0</v>
      </c>
      <c r="J37" s="335">
        <f t="shared" si="14"/>
        <v>0.62182499999999996</v>
      </c>
      <c r="L37" s="343">
        <f t="shared" si="15"/>
        <v>0.02</v>
      </c>
      <c r="M37" s="344">
        <f t="shared" si="15"/>
        <v>0</v>
      </c>
      <c r="N37" s="344">
        <f t="shared" si="15"/>
        <v>0.59600000000000009</v>
      </c>
      <c r="O37" s="344">
        <f t="shared" si="15"/>
        <v>5.8249999999999994E-3</v>
      </c>
      <c r="P37" s="344">
        <f t="shared" si="15"/>
        <v>0</v>
      </c>
      <c r="Q37" s="344">
        <f t="shared" si="15"/>
        <v>0</v>
      </c>
      <c r="R37" s="344">
        <f t="shared" si="15"/>
        <v>0</v>
      </c>
      <c r="S37" s="349">
        <f t="shared" si="15"/>
        <v>0</v>
      </c>
      <c r="T37" s="349">
        <f t="shared" si="15"/>
        <v>0.62182500000000007</v>
      </c>
      <c r="V37" s="376">
        <f t="shared" si="16"/>
        <v>5.8249999999999994E-3</v>
      </c>
      <c r="W37" s="372">
        <f t="shared" si="16"/>
        <v>1.68925E-3</v>
      </c>
      <c r="X37" s="372">
        <f t="shared" si="16"/>
        <v>3.3202499999999994E-3</v>
      </c>
      <c r="Y37" s="372">
        <f t="shared" si="16"/>
        <v>8.1550000000000014E-4</v>
      </c>
      <c r="Z37" s="372">
        <f t="shared" si="16"/>
        <v>0</v>
      </c>
      <c r="AA37" s="372">
        <f t="shared" si="16"/>
        <v>0</v>
      </c>
      <c r="AB37" s="372">
        <f t="shared" si="16"/>
        <v>0</v>
      </c>
      <c r="AC37" s="372">
        <f t="shared" si="16"/>
        <v>0</v>
      </c>
      <c r="AD37" s="377">
        <f t="shared" si="16"/>
        <v>5.8249999999999994E-3</v>
      </c>
    </row>
    <row r="38" spans="1:31" ht="15.75" thickBot="1" x14ac:dyDescent="0.3">
      <c r="A38" s="284" t="s">
        <v>565</v>
      </c>
      <c r="C38" s="335">
        <f t="shared" si="14"/>
        <v>1.2576250000000002</v>
      </c>
      <c r="D38" s="335">
        <f t="shared" si="14"/>
        <v>2.1876500000000001</v>
      </c>
      <c r="E38" s="335">
        <f t="shared" si="14"/>
        <v>0.139125</v>
      </c>
      <c r="F38" s="335">
        <f t="shared" si="14"/>
        <v>0.05</v>
      </c>
      <c r="G38" s="335">
        <f t="shared" si="14"/>
        <v>0</v>
      </c>
      <c r="H38" s="335">
        <f t="shared" si="14"/>
        <v>0</v>
      </c>
      <c r="I38" s="335">
        <f t="shared" si="14"/>
        <v>0</v>
      </c>
      <c r="J38" s="335">
        <f t="shared" si="14"/>
        <v>3.6344000000000003</v>
      </c>
      <c r="L38" s="346">
        <f t="shared" si="15"/>
        <v>0.68500000000000005</v>
      </c>
      <c r="M38" s="347">
        <f t="shared" si="15"/>
        <v>0.15</v>
      </c>
      <c r="N38" s="347">
        <f t="shared" si="15"/>
        <v>2.6329000000000002</v>
      </c>
      <c r="O38" s="347">
        <f t="shared" si="15"/>
        <v>0.11650000000000001</v>
      </c>
      <c r="P38" s="347">
        <f t="shared" si="15"/>
        <v>0</v>
      </c>
      <c r="Q38" s="347">
        <f t="shared" si="15"/>
        <v>0</v>
      </c>
      <c r="R38" s="347">
        <f t="shared" si="15"/>
        <v>0.05</v>
      </c>
      <c r="S38" s="350">
        <f t="shared" si="15"/>
        <v>0</v>
      </c>
      <c r="T38" s="350">
        <f t="shared" si="15"/>
        <v>3.6344000000000003</v>
      </c>
      <c r="V38" s="378">
        <f t="shared" si="16"/>
        <v>0.11650000000000001</v>
      </c>
      <c r="W38" s="379">
        <f t="shared" si="16"/>
        <v>2.0378753753753753E-2</v>
      </c>
      <c r="X38" s="379">
        <f t="shared" si="16"/>
        <v>7.5742492492492486E-2</v>
      </c>
      <c r="Y38" s="379">
        <f t="shared" si="16"/>
        <v>2.0378753753753753E-2</v>
      </c>
      <c r="Z38" s="379">
        <f t="shared" si="16"/>
        <v>0</v>
      </c>
      <c r="AA38" s="379">
        <f t="shared" si="16"/>
        <v>0</v>
      </c>
      <c r="AB38" s="379">
        <f t="shared" si="16"/>
        <v>0</v>
      </c>
      <c r="AC38" s="379">
        <f t="shared" si="16"/>
        <v>0</v>
      </c>
      <c r="AD38" s="380">
        <f t="shared" si="16"/>
        <v>0.11649999999999999</v>
      </c>
    </row>
    <row r="39" spans="1:31" x14ac:dyDescent="0.25">
      <c r="A39" s="23"/>
      <c r="C39" s="335"/>
      <c r="D39" s="335"/>
      <c r="E39" s="335"/>
      <c r="F39" s="335"/>
      <c r="G39" s="335"/>
      <c r="H39" s="335"/>
      <c r="I39" s="335"/>
      <c r="J39" s="335"/>
      <c r="L39" s="344">
        <f>SUM(L35:L38)</f>
        <v>1.9521000000000002</v>
      </c>
      <c r="M39" s="344">
        <f>SUM(M35:M38)</f>
        <v>1.9124999999999999</v>
      </c>
      <c r="N39" s="344">
        <f t="shared" ref="N39:T39" si="17">SUM(N35:N38)</f>
        <v>28.148914320000006</v>
      </c>
      <c r="O39" s="344">
        <f t="shared" si="17"/>
        <v>15.045449999999999</v>
      </c>
      <c r="P39" s="344">
        <f t="shared" si="17"/>
        <v>3</v>
      </c>
      <c r="Q39" s="344">
        <f t="shared" si="17"/>
        <v>0.26250000000000001</v>
      </c>
      <c r="R39" s="344">
        <f t="shared" si="17"/>
        <v>5.2949999999999999</v>
      </c>
      <c r="S39" s="344">
        <f t="shared" si="17"/>
        <v>0</v>
      </c>
      <c r="T39" s="344">
        <f t="shared" si="17"/>
        <v>55.616464320000013</v>
      </c>
      <c r="V39" s="335">
        <f>SUM(V35:V38)</f>
        <v>15.045449999999999</v>
      </c>
      <c r="W39" s="335">
        <f>SUM(W35:W38)</f>
        <v>1.1308409220130722</v>
      </c>
      <c r="X39" s="335">
        <f t="shared" ref="X39:AC39" si="18">SUM(X35:X38)</f>
        <v>4.2973123340159045</v>
      </c>
      <c r="Y39" s="335">
        <f t="shared" si="18"/>
        <v>4.3128445940080269</v>
      </c>
      <c r="Z39" s="335">
        <f t="shared" si="18"/>
        <v>2.5980990122267738</v>
      </c>
      <c r="AA39" s="335">
        <f t="shared" si="18"/>
        <v>1.7320660081511823</v>
      </c>
      <c r="AB39" s="335">
        <f t="shared" si="18"/>
        <v>0.86603300407559114</v>
      </c>
      <c r="AC39" s="335">
        <f t="shared" si="18"/>
        <v>0.10825412550944889</v>
      </c>
      <c r="AD39" s="335">
        <f>SUM(AD35:AD38)</f>
        <v>15.045449999999999</v>
      </c>
      <c r="AE39" s="335"/>
    </row>
    <row r="40" spans="1:31" x14ac:dyDescent="0.25">
      <c r="A40" s="23"/>
      <c r="C40" s="335"/>
      <c r="D40" s="335"/>
      <c r="E40" s="335"/>
      <c r="F40" s="335"/>
      <c r="G40" s="335"/>
      <c r="H40" s="335"/>
      <c r="I40" s="335"/>
      <c r="J40" s="335"/>
      <c r="L40" s="344"/>
      <c r="M40" s="344"/>
      <c r="N40" s="344"/>
      <c r="O40" s="344"/>
      <c r="P40" s="344"/>
      <c r="Q40" s="344"/>
      <c r="R40" s="344"/>
      <c r="S40" s="344"/>
      <c r="T40" s="344"/>
      <c r="V40" s="335"/>
      <c r="W40" s="511">
        <f>W39*1000</f>
        <v>1130.8409220130723</v>
      </c>
      <c r="X40" s="511">
        <f t="shared" ref="X40:AC40" si="19">X39*1000</f>
        <v>4297.3123340159045</v>
      </c>
      <c r="Y40" s="511">
        <f t="shared" si="19"/>
        <v>4312.8445940080273</v>
      </c>
      <c r="Z40" s="511">
        <f t="shared" si="19"/>
        <v>2598.0990122267735</v>
      </c>
      <c r="AA40" s="511">
        <f t="shared" si="19"/>
        <v>1732.0660081511824</v>
      </c>
      <c r="AB40" s="511">
        <f t="shared" si="19"/>
        <v>866.03300407559118</v>
      </c>
      <c r="AC40" s="511">
        <f t="shared" si="19"/>
        <v>108.2541255094489</v>
      </c>
    </row>
    <row r="41" spans="1:31" ht="15.75" thickBot="1" x14ac:dyDescent="0.3">
      <c r="C41" s="335"/>
      <c r="D41" s="335"/>
      <c r="E41" s="335"/>
      <c r="F41" s="335"/>
      <c r="G41" s="335"/>
      <c r="H41" s="335"/>
      <c r="I41" s="335"/>
      <c r="J41" s="335"/>
      <c r="V41" s="335"/>
    </row>
    <row r="42" spans="1:31" ht="15.75" thickBot="1" x14ac:dyDescent="0.3">
      <c r="A42" s="284" t="s">
        <v>352</v>
      </c>
      <c r="C42" s="335">
        <f t="shared" ref="C42:J42" si="20">SUMIF($A$4:$A$30,$A42,C$4:C$30)</f>
        <v>0</v>
      </c>
      <c r="D42" s="335">
        <f t="shared" si="20"/>
        <v>0</v>
      </c>
      <c r="E42" s="335">
        <f t="shared" si="20"/>
        <v>5.1319499999999998</v>
      </c>
      <c r="F42" s="335">
        <f t="shared" si="20"/>
        <v>4.6306833333333328</v>
      </c>
      <c r="G42" s="335">
        <f t="shared" si="20"/>
        <v>4.1294166666666667</v>
      </c>
      <c r="H42" s="335">
        <f t="shared" si="20"/>
        <v>3.6389120547945213</v>
      </c>
      <c r="I42" s="335">
        <f t="shared" si="20"/>
        <v>-0.40560000000000002</v>
      </c>
      <c r="J42" s="335">
        <f t="shared" si="20"/>
        <v>17.125362054794522</v>
      </c>
      <c r="L42" s="351">
        <f t="shared" ref="L42:AD42" si="21">SUMIF($A$4:$A$30,$A42,L$4:L$30)</f>
        <v>0</v>
      </c>
      <c r="M42" s="352">
        <f t="shared" si="21"/>
        <v>0</v>
      </c>
      <c r="N42" s="352">
        <f t="shared" si="21"/>
        <v>0.93654810273972611</v>
      </c>
      <c r="O42" s="352">
        <f t="shared" si="21"/>
        <v>0</v>
      </c>
      <c r="P42" s="352">
        <f t="shared" si="21"/>
        <v>0</v>
      </c>
      <c r="Q42" s="352">
        <f t="shared" si="21"/>
        <v>16.188813952054794</v>
      </c>
      <c r="R42" s="352">
        <f t="shared" si="21"/>
        <v>0</v>
      </c>
      <c r="S42" s="353">
        <f t="shared" si="21"/>
        <v>0</v>
      </c>
      <c r="T42" s="353">
        <f t="shared" si="21"/>
        <v>17.125362054794518</v>
      </c>
      <c r="V42" s="353">
        <f t="shared" si="21"/>
        <v>0</v>
      </c>
      <c r="W42" s="353">
        <f t="shared" si="21"/>
        <v>0</v>
      </c>
      <c r="X42" s="353">
        <f t="shared" si="21"/>
        <v>0</v>
      </c>
      <c r="Y42" s="353">
        <f t="shared" si="21"/>
        <v>0</v>
      </c>
      <c r="Z42" s="353">
        <f t="shared" si="21"/>
        <v>0</v>
      </c>
      <c r="AA42" s="353">
        <f t="shared" si="21"/>
        <v>0</v>
      </c>
      <c r="AB42" s="353">
        <f t="shared" si="21"/>
        <v>0</v>
      </c>
      <c r="AC42" s="353">
        <f t="shared" si="21"/>
        <v>0</v>
      </c>
      <c r="AD42" s="353">
        <f t="shared" si="21"/>
        <v>0</v>
      </c>
    </row>
    <row r="45" spans="1:31" ht="45" x14ac:dyDescent="0.25">
      <c r="B45" s="486" t="s">
        <v>708</v>
      </c>
      <c r="C45" s="486">
        <v>2019</v>
      </c>
      <c r="D45" s="486">
        <v>2020</v>
      </c>
      <c r="E45" s="486">
        <v>2021</v>
      </c>
      <c r="F45" s="486">
        <v>2022</v>
      </c>
      <c r="G45" s="486">
        <v>2023</v>
      </c>
      <c r="H45" s="486">
        <v>2024</v>
      </c>
      <c r="I45" s="486" t="s">
        <v>186</v>
      </c>
      <c r="J45" s="486" t="s">
        <v>709</v>
      </c>
      <c r="L45" s="486" t="s">
        <v>23</v>
      </c>
      <c r="M45" s="486" t="s">
        <v>24</v>
      </c>
      <c r="N45" s="486" t="s">
        <v>19</v>
      </c>
      <c r="O45" s="486" t="s">
        <v>18</v>
      </c>
      <c r="P45" s="486" t="s">
        <v>710</v>
      </c>
      <c r="Q45" s="486" t="s">
        <v>20</v>
      </c>
      <c r="R45" s="486" t="s">
        <v>21</v>
      </c>
      <c r="S45" s="486" t="s">
        <v>22</v>
      </c>
      <c r="T45" s="486" t="s">
        <v>711</v>
      </c>
    </row>
    <row r="46" spans="1:31" ht="30" x14ac:dyDescent="0.25">
      <c r="B46" s="487" t="s">
        <v>712</v>
      </c>
      <c r="C46" s="488">
        <f>+C4*1000</f>
        <v>0</v>
      </c>
      <c r="D46" s="488">
        <f t="shared" ref="D46:I46" si="22">+D4*1000</f>
        <v>2768</v>
      </c>
      <c r="E46" s="488">
        <f t="shared" si="22"/>
        <v>0</v>
      </c>
      <c r="F46" s="488">
        <f t="shared" si="22"/>
        <v>0</v>
      </c>
      <c r="G46" s="488">
        <f t="shared" si="22"/>
        <v>0</v>
      </c>
      <c r="H46" s="488">
        <f t="shared" si="22"/>
        <v>0</v>
      </c>
      <c r="I46" s="488">
        <f t="shared" si="22"/>
        <v>0</v>
      </c>
      <c r="J46" s="488">
        <f>+J4*1000</f>
        <v>2768</v>
      </c>
      <c r="L46" s="488">
        <f t="shared" ref="L46:S46" si="23">+L4*1000</f>
        <v>0</v>
      </c>
      <c r="M46" s="488">
        <f t="shared" si="23"/>
        <v>0</v>
      </c>
      <c r="N46" s="488">
        <f t="shared" si="23"/>
        <v>2768</v>
      </c>
      <c r="O46" s="488">
        <f t="shared" si="23"/>
        <v>0</v>
      </c>
      <c r="P46" s="488">
        <f t="shared" si="23"/>
        <v>0</v>
      </c>
      <c r="Q46" s="488">
        <f t="shared" si="23"/>
        <v>0</v>
      </c>
      <c r="R46" s="488">
        <f t="shared" si="23"/>
        <v>0</v>
      </c>
      <c r="S46" s="488">
        <f t="shared" si="23"/>
        <v>0</v>
      </c>
      <c r="T46" s="523">
        <f>SUM(L46:S46)</f>
        <v>2768</v>
      </c>
      <c r="U46" s="499"/>
      <c r="V46" s="499"/>
    </row>
    <row r="47" spans="1:31" ht="30" x14ac:dyDescent="0.25">
      <c r="B47" s="487" t="s">
        <v>713</v>
      </c>
      <c r="C47" s="766">
        <f>+(C6+C8+C10+C7+C9)*1000</f>
        <v>8258.875</v>
      </c>
      <c r="D47" s="766">
        <f t="shared" ref="D47:J47" si="24">+(D6+D8+D10+D7+D9)*1000</f>
        <v>6451.7500000000009</v>
      </c>
      <c r="E47" s="766">
        <f t="shared" si="24"/>
        <v>1217.875</v>
      </c>
      <c r="F47" s="488">
        <f t="shared" si="24"/>
        <v>0</v>
      </c>
      <c r="G47" s="488">
        <f t="shared" si="24"/>
        <v>0</v>
      </c>
      <c r="H47" s="488">
        <f t="shared" si="24"/>
        <v>0</v>
      </c>
      <c r="I47" s="488">
        <f t="shared" si="24"/>
        <v>0</v>
      </c>
      <c r="J47" s="766">
        <f t="shared" si="24"/>
        <v>15928.5</v>
      </c>
      <c r="L47" s="488">
        <f t="shared" ref="L47:S47" si="25">+(L6+L8+L10+L7+L9)*1000</f>
        <v>485</v>
      </c>
      <c r="M47" s="488">
        <f t="shared" si="25"/>
        <v>0</v>
      </c>
      <c r="N47" s="488">
        <f>+(N6+N8+N10+N7+N9)*1000</f>
        <v>3742</v>
      </c>
      <c r="O47" s="488">
        <f t="shared" si="25"/>
        <v>3881.4999999999995</v>
      </c>
      <c r="P47" s="488">
        <f t="shared" si="25"/>
        <v>3000</v>
      </c>
      <c r="Q47" s="488">
        <f t="shared" si="25"/>
        <v>0</v>
      </c>
      <c r="R47" s="488">
        <f t="shared" si="25"/>
        <v>4820</v>
      </c>
      <c r="S47" s="488">
        <f t="shared" si="25"/>
        <v>0</v>
      </c>
      <c r="T47" s="523">
        <f t="shared" ref="T47:T54" si="26">SUM(L47:S47)</f>
        <v>15928.5</v>
      </c>
      <c r="U47" s="499"/>
      <c r="V47" s="499"/>
    </row>
    <row r="48" spans="1:31" ht="30" x14ac:dyDescent="0.25">
      <c r="B48" s="487" t="s">
        <v>714</v>
      </c>
      <c r="C48" s="488">
        <f t="shared" ref="C48:J48" si="27">+(C11+C12)*1000</f>
        <v>159</v>
      </c>
      <c r="D48" s="488">
        <f t="shared" si="27"/>
        <v>1010</v>
      </c>
      <c r="E48" s="488">
        <f t="shared" si="27"/>
        <v>0</v>
      </c>
      <c r="F48" s="488">
        <f t="shared" si="27"/>
        <v>0</v>
      </c>
      <c r="G48" s="488">
        <f t="shared" si="27"/>
        <v>0</v>
      </c>
      <c r="H48" s="488">
        <f t="shared" si="27"/>
        <v>0</v>
      </c>
      <c r="I48" s="488">
        <f t="shared" si="27"/>
        <v>0</v>
      </c>
      <c r="J48" s="488">
        <f t="shared" si="27"/>
        <v>1169</v>
      </c>
      <c r="L48" s="488">
        <f t="shared" ref="L48:S48" si="28">+(L11+L12)*1000</f>
        <v>159</v>
      </c>
      <c r="M48" s="488">
        <f t="shared" si="28"/>
        <v>0</v>
      </c>
      <c r="N48" s="488">
        <f t="shared" si="28"/>
        <v>1010</v>
      </c>
      <c r="O48" s="488">
        <f t="shared" si="28"/>
        <v>0</v>
      </c>
      <c r="P48" s="488">
        <f t="shared" si="28"/>
        <v>0</v>
      </c>
      <c r="Q48" s="488">
        <f t="shared" si="28"/>
        <v>0</v>
      </c>
      <c r="R48" s="488">
        <f t="shared" si="28"/>
        <v>0</v>
      </c>
      <c r="S48" s="488">
        <f t="shared" si="28"/>
        <v>0</v>
      </c>
      <c r="T48" s="523">
        <f t="shared" si="26"/>
        <v>1169</v>
      </c>
      <c r="U48" s="499"/>
      <c r="V48" s="499"/>
    </row>
    <row r="49" spans="2:22" x14ac:dyDescent="0.25">
      <c r="B49" s="487" t="s">
        <v>715</v>
      </c>
      <c r="C49" s="488">
        <f>+C15*1000</f>
        <v>0</v>
      </c>
      <c r="D49" s="488">
        <f t="shared" ref="D49:I49" si="29">+D15*1000</f>
        <v>200</v>
      </c>
      <c r="E49" s="488">
        <f t="shared" si="29"/>
        <v>0</v>
      </c>
      <c r="F49" s="488">
        <f t="shared" si="29"/>
        <v>0</v>
      </c>
      <c r="G49" s="488">
        <f t="shared" si="29"/>
        <v>0</v>
      </c>
      <c r="H49" s="488">
        <f t="shared" si="29"/>
        <v>0</v>
      </c>
      <c r="I49" s="488">
        <f t="shared" si="29"/>
        <v>0</v>
      </c>
      <c r="J49" s="488">
        <f>+J15*1000</f>
        <v>200</v>
      </c>
      <c r="L49" s="488">
        <f>+L15*1000</f>
        <v>0</v>
      </c>
      <c r="M49" s="488">
        <f t="shared" ref="M49:R49" si="30">+M15*1000</f>
        <v>0</v>
      </c>
      <c r="N49" s="488">
        <f t="shared" si="30"/>
        <v>100</v>
      </c>
      <c r="O49" s="488">
        <f t="shared" si="30"/>
        <v>0</v>
      </c>
      <c r="P49" s="488">
        <f t="shared" si="30"/>
        <v>0</v>
      </c>
      <c r="Q49" s="488">
        <f t="shared" si="30"/>
        <v>100</v>
      </c>
      <c r="R49" s="488">
        <f t="shared" si="30"/>
        <v>0</v>
      </c>
      <c r="S49" s="488">
        <f>+S15*1000</f>
        <v>0</v>
      </c>
      <c r="T49" s="523">
        <f t="shared" si="26"/>
        <v>200</v>
      </c>
      <c r="U49" s="499"/>
      <c r="V49" s="499"/>
    </row>
    <row r="50" spans="2:22" x14ac:dyDescent="0.25">
      <c r="B50" s="487" t="s">
        <v>716</v>
      </c>
      <c r="C50" s="488">
        <f t="shared" ref="C50:J50" si="31">+(C13+C14)*1000</f>
        <v>1180.0000000000002</v>
      </c>
      <c r="D50" s="488">
        <f t="shared" si="31"/>
        <v>1210</v>
      </c>
      <c r="E50" s="488">
        <f t="shared" si="31"/>
        <v>1320</v>
      </c>
      <c r="F50" s="488">
        <f t="shared" si="31"/>
        <v>0</v>
      </c>
      <c r="G50" s="488">
        <f t="shared" si="31"/>
        <v>0</v>
      </c>
      <c r="H50" s="488">
        <f t="shared" si="31"/>
        <v>0</v>
      </c>
      <c r="I50" s="488">
        <f t="shared" si="31"/>
        <v>0</v>
      </c>
      <c r="J50" s="488">
        <f t="shared" si="31"/>
        <v>3710</v>
      </c>
      <c r="L50" s="488">
        <f t="shared" ref="L50:S50" si="32">+(L13+L14)*1000</f>
        <v>1160.0000000000002</v>
      </c>
      <c r="M50" s="488">
        <f t="shared" si="32"/>
        <v>1912.4999999999998</v>
      </c>
      <c r="N50" s="488">
        <f t="shared" si="32"/>
        <v>0</v>
      </c>
      <c r="O50" s="488">
        <f t="shared" si="32"/>
        <v>0</v>
      </c>
      <c r="P50" s="488">
        <f t="shared" si="32"/>
        <v>0</v>
      </c>
      <c r="Q50" s="488">
        <f t="shared" si="32"/>
        <v>162.5</v>
      </c>
      <c r="R50" s="488">
        <f t="shared" si="32"/>
        <v>475</v>
      </c>
      <c r="S50" s="488">
        <f t="shared" si="32"/>
        <v>0</v>
      </c>
      <c r="T50" s="523">
        <f t="shared" si="26"/>
        <v>3710</v>
      </c>
      <c r="U50" s="499"/>
      <c r="V50" s="499"/>
    </row>
    <row r="51" spans="2:22" x14ac:dyDescent="0.25">
      <c r="B51" s="487" t="s">
        <v>717</v>
      </c>
      <c r="C51" s="488">
        <f>+(C16+C17)*1000</f>
        <v>507.90000000000003</v>
      </c>
      <c r="D51" s="488">
        <f t="shared" ref="D51:J51" si="33">+(D16+D17)*1000</f>
        <v>716.69999999999993</v>
      </c>
      <c r="E51" s="488">
        <f t="shared" si="33"/>
        <v>452.7</v>
      </c>
      <c r="F51" s="488">
        <f t="shared" si="33"/>
        <v>88.7</v>
      </c>
      <c r="G51" s="488">
        <f t="shared" si="33"/>
        <v>0</v>
      </c>
      <c r="H51" s="488">
        <f t="shared" si="33"/>
        <v>0</v>
      </c>
      <c r="I51" s="488">
        <f t="shared" si="33"/>
        <v>0</v>
      </c>
      <c r="J51" s="488">
        <f t="shared" si="33"/>
        <v>1766</v>
      </c>
      <c r="L51" s="488">
        <f t="shared" ref="L51:S51" si="34">+(L16+L17)*1000</f>
        <v>80</v>
      </c>
      <c r="M51" s="488">
        <f t="shared" si="34"/>
        <v>0</v>
      </c>
      <c r="N51" s="488">
        <f t="shared" si="34"/>
        <v>1686.0000000000002</v>
      </c>
      <c r="O51" s="488">
        <f t="shared" si="34"/>
        <v>0</v>
      </c>
      <c r="P51" s="488">
        <f t="shared" si="34"/>
        <v>0</v>
      </c>
      <c r="Q51" s="488">
        <f t="shared" si="34"/>
        <v>0</v>
      </c>
      <c r="R51" s="488">
        <f t="shared" si="34"/>
        <v>0</v>
      </c>
      <c r="S51" s="488">
        <f t="shared" si="34"/>
        <v>0</v>
      </c>
      <c r="T51" s="523">
        <f t="shared" si="26"/>
        <v>1766.0000000000002</v>
      </c>
      <c r="U51" s="499"/>
      <c r="V51" s="499"/>
    </row>
    <row r="52" spans="2:22" x14ac:dyDescent="0.25">
      <c r="B52" s="487" t="s">
        <v>718</v>
      </c>
      <c r="C52" s="488">
        <f t="shared" ref="C52:J52" si="35">+(C20+C21)*1000</f>
        <v>100</v>
      </c>
      <c r="D52" s="488">
        <f t="shared" si="35"/>
        <v>100</v>
      </c>
      <c r="E52" s="488">
        <f t="shared" si="35"/>
        <v>180</v>
      </c>
      <c r="F52" s="488">
        <f t="shared" si="35"/>
        <v>180</v>
      </c>
      <c r="G52" s="488">
        <f t="shared" si="35"/>
        <v>0</v>
      </c>
      <c r="H52" s="488">
        <f t="shared" si="35"/>
        <v>0</v>
      </c>
      <c r="I52" s="488">
        <f t="shared" si="35"/>
        <v>0</v>
      </c>
      <c r="J52" s="488">
        <f t="shared" si="35"/>
        <v>560</v>
      </c>
      <c r="L52" s="488">
        <f t="shared" ref="L52:S52" si="36">+(L20+L21)*1000</f>
        <v>0</v>
      </c>
      <c r="M52" s="488">
        <f t="shared" si="36"/>
        <v>0</v>
      </c>
      <c r="N52" s="488">
        <f t="shared" si="36"/>
        <v>560</v>
      </c>
      <c r="O52" s="488">
        <f t="shared" si="36"/>
        <v>0</v>
      </c>
      <c r="P52" s="488">
        <f t="shared" si="36"/>
        <v>0</v>
      </c>
      <c r="Q52" s="488">
        <f t="shared" si="36"/>
        <v>0</v>
      </c>
      <c r="R52" s="488">
        <f t="shared" si="36"/>
        <v>0</v>
      </c>
      <c r="S52" s="488">
        <f t="shared" si="36"/>
        <v>0</v>
      </c>
      <c r="T52" s="523">
        <f t="shared" si="26"/>
        <v>560</v>
      </c>
      <c r="U52" s="499"/>
      <c r="V52" s="499"/>
    </row>
    <row r="53" spans="2:22" ht="30" x14ac:dyDescent="0.25">
      <c r="B53" s="490" t="s">
        <v>719</v>
      </c>
      <c r="C53" s="491">
        <f>+C24*1000</f>
        <v>0</v>
      </c>
      <c r="D53" s="491">
        <f t="shared" ref="D53:I53" si="37">+D24*1000</f>
        <v>4091.6572200000001</v>
      </c>
      <c r="E53" s="491">
        <f t="shared" si="37"/>
        <v>6891.2121600000009</v>
      </c>
      <c r="F53" s="491">
        <f t="shared" si="37"/>
        <v>5168.4091200000003</v>
      </c>
      <c r="G53" s="491">
        <f t="shared" si="37"/>
        <v>3445.6060800000005</v>
      </c>
      <c r="H53" s="491">
        <f t="shared" si="37"/>
        <v>1722.8030400000002</v>
      </c>
      <c r="I53" s="491">
        <f t="shared" si="37"/>
        <v>215.35038000000003</v>
      </c>
      <c r="J53" s="491">
        <f>+J24*1000</f>
        <v>21535.038000000004</v>
      </c>
      <c r="L53" s="491">
        <f>+L24*1000</f>
        <v>0</v>
      </c>
      <c r="M53" s="491">
        <f t="shared" ref="M53:R53" si="38">+M24*1000</f>
        <v>0</v>
      </c>
      <c r="N53" s="491">
        <f>+N24*1000</f>
        <v>12450.438000000004</v>
      </c>
      <c r="O53" s="491">
        <f t="shared" si="38"/>
        <v>9084.6</v>
      </c>
      <c r="P53" s="491">
        <f t="shared" si="38"/>
        <v>0</v>
      </c>
      <c r="Q53" s="491">
        <f t="shared" si="38"/>
        <v>0</v>
      </c>
      <c r="R53" s="491">
        <f t="shared" si="38"/>
        <v>0</v>
      </c>
      <c r="S53" s="491">
        <f>+S24*1000</f>
        <v>0</v>
      </c>
      <c r="T53" s="523">
        <f t="shared" si="26"/>
        <v>21535.038000000004</v>
      </c>
      <c r="U53" s="499"/>
      <c r="V53" s="499"/>
    </row>
    <row r="54" spans="2:22" ht="15.75" thickBot="1" x14ac:dyDescent="0.3">
      <c r="B54" s="487" t="s">
        <v>296</v>
      </c>
      <c r="C54" s="488">
        <f t="shared" ref="C54:J54" si="39">+(C25+C26)*1000</f>
        <v>0</v>
      </c>
      <c r="D54" s="488">
        <f t="shared" si="39"/>
        <v>533.79999999999995</v>
      </c>
      <c r="E54" s="488">
        <f>+(E25+E26)*1000</f>
        <v>0</v>
      </c>
      <c r="F54" s="488">
        <f t="shared" si="39"/>
        <v>0</v>
      </c>
      <c r="G54" s="488">
        <f t="shared" si="39"/>
        <v>0</v>
      </c>
      <c r="H54" s="488">
        <f t="shared" si="39"/>
        <v>0</v>
      </c>
      <c r="I54" s="488">
        <f t="shared" si="39"/>
        <v>0</v>
      </c>
      <c r="J54" s="488">
        <f t="shared" si="39"/>
        <v>533.79999999999995</v>
      </c>
      <c r="L54" s="488">
        <f t="shared" ref="L54:S54" si="40">+(L25+L26)*1000</f>
        <v>0</v>
      </c>
      <c r="M54" s="488">
        <f t="shared" si="40"/>
        <v>0</v>
      </c>
      <c r="N54" s="488">
        <f t="shared" si="40"/>
        <v>533.79999999999995</v>
      </c>
      <c r="O54" s="488">
        <f t="shared" si="40"/>
        <v>0</v>
      </c>
      <c r="P54" s="488">
        <f t="shared" si="40"/>
        <v>0</v>
      </c>
      <c r="Q54" s="488">
        <f t="shared" si="40"/>
        <v>0</v>
      </c>
      <c r="R54" s="488">
        <f t="shared" si="40"/>
        <v>0</v>
      </c>
      <c r="S54" s="488">
        <f t="shared" si="40"/>
        <v>0</v>
      </c>
      <c r="T54" s="523">
        <f t="shared" si="26"/>
        <v>533.79999999999995</v>
      </c>
      <c r="U54" s="499"/>
      <c r="V54" s="499"/>
    </row>
    <row r="55" spans="2:22" ht="15.75" thickBot="1" x14ac:dyDescent="0.3">
      <c r="B55" s="492" t="s">
        <v>711</v>
      </c>
      <c r="C55" s="493">
        <f>SUM(C46:C54)</f>
        <v>10205.775</v>
      </c>
      <c r="D55" s="493">
        <f t="shared" ref="D55:T55" si="41">SUM(D46:D54)</f>
        <v>17081.907220000001</v>
      </c>
      <c r="E55" s="493">
        <f t="shared" si="41"/>
        <v>10061.78716</v>
      </c>
      <c r="F55" s="493">
        <f t="shared" si="41"/>
        <v>5437.1091200000001</v>
      </c>
      <c r="G55" s="493">
        <f t="shared" si="41"/>
        <v>3445.6060800000005</v>
      </c>
      <c r="H55" s="493">
        <f t="shared" si="41"/>
        <v>1722.8030400000002</v>
      </c>
      <c r="I55" s="493">
        <f t="shared" si="41"/>
        <v>215.35038000000003</v>
      </c>
      <c r="J55" s="493">
        <f t="shared" si="41"/>
        <v>48170.338000000003</v>
      </c>
      <c r="L55" s="493">
        <f t="shared" si="41"/>
        <v>1884.0000000000002</v>
      </c>
      <c r="M55" s="493">
        <f t="shared" si="41"/>
        <v>1912.4999999999998</v>
      </c>
      <c r="N55" s="493">
        <f>SUM(N46:N54)</f>
        <v>22850.238000000001</v>
      </c>
      <c r="O55" s="493">
        <f t="shared" si="41"/>
        <v>12966.1</v>
      </c>
      <c r="P55" s="493">
        <f t="shared" si="41"/>
        <v>3000</v>
      </c>
      <c r="Q55" s="493">
        <f t="shared" si="41"/>
        <v>262.5</v>
      </c>
      <c r="R55" s="493">
        <f t="shared" si="41"/>
        <v>5295</v>
      </c>
      <c r="S55" s="493">
        <f t="shared" si="41"/>
        <v>0</v>
      </c>
      <c r="T55" s="493">
        <f t="shared" si="41"/>
        <v>48170.338000000003</v>
      </c>
      <c r="U55" s="499"/>
      <c r="V55" s="499"/>
    </row>
    <row r="56" spans="2:22" x14ac:dyDescent="0.25">
      <c r="C56" s="335">
        <f>+C55-(C38+C36)*1000</f>
        <v>0</v>
      </c>
      <c r="D56" s="335">
        <f t="shared" ref="D56:T56" si="42">+D55-(D38+D36)*1000</f>
        <v>0</v>
      </c>
      <c r="E56" s="335">
        <f t="shared" si="42"/>
        <v>0</v>
      </c>
      <c r="F56" s="335">
        <f t="shared" si="42"/>
        <v>0</v>
      </c>
      <c r="G56" s="335">
        <f t="shared" si="42"/>
        <v>0</v>
      </c>
      <c r="H56" s="335">
        <f t="shared" si="42"/>
        <v>0</v>
      </c>
      <c r="I56" s="335">
        <f t="shared" si="42"/>
        <v>0</v>
      </c>
      <c r="J56" s="335">
        <f t="shared" si="42"/>
        <v>0</v>
      </c>
      <c r="L56" s="335">
        <f t="shared" si="42"/>
        <v>0</v>
      </c>
      <c r="M56" s="335">
        <f t="shared" si="42"/>
        <v>0</v>
      </c>
      <c r="N56" s="335">
        <f t="shared" si="42"/>
        <v>0</v>
      </c>
      <c r="O56" s="335">
        <f t="shared" si="42"/>
        <v>0</v>
      </c>
      <c r="P56" s="335">
        <f t="shared" si="42"/>
        <v>0</v>
      </c>
      <c r="Q56" s="335">
        <f t="shared" si="42"/>
        <v>0</v>
      </c>
      <c r="R56" s="335">
        <f t="shared" si="42"/>
        <v>0</v>
      </c>
      <c r="S56" s="335">
        <f t="shared" si="42"/>
        <v>0</v>
      </c>
      <c r="T56" s="335">
        <f t="shared" si="42"/>
        <v>0</v>
      </c>
      <c r="U56" s="499"/>
      <c r="V56" s="499"/>
    </row>
    <row r="57" spans="2:22" x14ac:dyDescent="0.25">
      <c r="U57" s="499"/>
      <c r="V57" s="499"/>
    </row>
    <row r="58" spans="2:22" ht="45" x14ac:dyDescent="0.25">
      <c r="B58" s="486" t="s">
        <v>720</v>
      </c>
      <c r="C58" s="486">
        <v>2019</v>
      </c>
      <c r="D58" s="486">
        <v>2020</v>
      </c>
      <c r="E58" s="486">
        <v>2021</v>
      </c>
      <c r="F58" s="486">
        <v>2022</v>
      </c>
      <c r="G58" s="486">
        <v>2023</v>
      </c>
      <c r="H58" s="486">
        <v>2024</v>
      </c>
      <c r="I58" s="486" t="s">
        <v>186</v>
      </c>
      <c r="J58" s="486" t="s">
        <v>709</v>
      </c>
      <c r="L58" s="486" t="s">
        <v>23</v>
      </c>
      <c r="M58" s="486" t="s">
        <v>24</v>
      </c>
      <c r="N58" s="486" t="s">
        <v>19</v>
      </c>
      <c r="O58" s="486" t="s">
        <v>18</v>
      </c>
      <c r="P58" s="486" t="s">
        <v>710</v>
      </c>
      <c r="Q58" s="486" t="s">
        <v>20</v>
      </c>
      <c r="R58" s="486" t="s">
        <v>21</v>
      </c>
      <c r="S58" s="486" t="s">
        <v>22</v>
      </c>
      <c r="T58" s="486" t="s">
        <v>711</v>
      </c>
      <c r="U58" s="499"/>
      <c r="V58" s="499"/>
    </row>
    <row r="59" spans="2:22" ht="30" x14ac:dyDescent="0.25">
      <c r="B59" s="487" t="s">
        <v>721</v>
      </c>
      <c r="C59" s="494">
        <f t="shared" ref="C59:J59" si="43">+C5*1000</f>
        <v>0</v>
      </c>
      <c r="D59" s="494">
        <f t="shared" si="43"/>
        <v>0</v>
      </c>
      <c r="E59" s="494">
        <f t="shared" si="43"/>
        <v>216</v>
      </c>
      <c r="F59" s="494">
        <f t="shared" si="43"/>
        <v>216</v>
      </c>
      <c r="G59" s="494">
        <f t="shared" si="43"/>
        <v>216</v>
      </c>
      <c r="H59" s="494">
        <f t="shared" si="43"/>
        <v>216</v>
      </c>
      <c r="I59" s="494">
        <f t="shared" si="43"/>
        <v>0</v>
      </c>
      <c r="J59" s="494">
        <f t="shared" si="43"/>
        <v>864</v>
      </c>
      <c r="L59" s="488">
        <f>+L5*1000</f>
        <v>0</v>
      </c>
      <c r="M59" s="488">
        <f>+M5*1000</f>
        <v>0</v>
      </c>
      <c r="N59" s="488">
        <f>+N5*1000</f>
        <v>864</v>
      </c>
      <c r="O59" s="488">
        <f>+O5*1000</f>
        <v>0</v>
      </c>
      <c r="P59" s="488"/>
      <c r="Q59" s="488">
        <f>+Q5*1000</f>
        <v>0</v>
      </c>
      <c r="R59" s="488">
        <f>+R5*1000</f>
        <v>0</v>
      </c>
      <c r="S59" s="488">
        <f>+S5*1000</f>
        <v>0</v>
      </c>
      <c r="T59" s="489">
        <f>+T5*1000</f>
        <v>864</v>
      </c>
      <c r="U59" s="499"/>
      <c r="V59" s="499"/>
    </row>
    <row r="60" spans="2:22" x14ac:dyDescent="0.25">
      <c r="B60" s="487" t="s">
        <v>718</v>
      </c>
      <c r="C60" s="494">
        <f t="shared" ref="C60:J60" si="44">+(C18+C19)*1000</f>
        <v>240</v>
      </c>
      <c r="D60" s="494">
        <f t="shared" si="44"/>
        <v>195</v>
      </c>
      <c r="E60" s="494">
        <f t="shared" si="44"/>
        <v>195</v>
      </c>
      <c r="F60" s="494">
        <f t="shared" si="44"/>
        <v>195</v>
      </c>
      <c r="G60" s="494">
        <f t="shared" si="44"/>
        <v>0</v>
      </c>
      <c r="H60" s="494">
        <f t="shared" si="44"/>
        <v>0</v>
      </c>
      <c r="I60" s="494">
        <f t="shared" si="44"/>
        <v>0</v>
      </c>
      <c r="J60" s="494">
        <f t="shared" si="44"/>
        <v>825</v>
      </c>
      <c r="L60" s="488">
        <f t="shared" ref="L60:T60" si="45">+(L18+L19)*1000</f>
        <v>65</v>
      </c>
      <c r="M60" s="488">
        <f t="shared" si="45"/>
        <v>0</v>
      </c>
      <c r="N60" s="488">
        <f t="shared" si="45"/>
        <v>760</v>
      </c>
      <c r="O60" s="488">
        <f t="shared" si="45"/>
        <v>0</v>
      </c>
      <c r="P60" s="488">
        <f t="shared" si="45"/>
        <v>0</v>
      </c>
      <c r="Q60" s="488">
        <f t="shared" si="45"/>
        <v>0</v>
      </c>
      <c r="R60" s="488">
        <f t="shared" si="45"/>
        <v>0</v>
      </c>
      <c r="S60" s="488">
        <f t="shared" si="45"/>
        <v>0</v>
      </c>
      <c r="T60" s="489">
        <f t="shared" si="45"/>
        <v>825</v>
      </c>
      <c r="U60" s="499"/>
      <c r="V60" s="499"/>
    </row>
    <row r="61" spans="2:22" ht="30" x14ac:dyDescent="0.25">
      <c r="B61" s="487" t="s">
        <v>722</v>
      </c>
      <c r="C61" s="494">
        <f>+(C22+C23)*1000</f>
        <v>548.61174999999992</v>
      </c>
      <c r="D61" s="494">
        <f t="shared" ref="D61:J61" si="46">+(D22+D23)*1000</f>
        <v>1072.2127499999999</v>
      </c>
      <c r="E61" s="494">
        <f t="shared" si="46"/>
        <v>263.35050000000007</v>
      </c>
      <c r="F61" s="494">
        <f t="shared" si="46"/>
        <v>0</v>
      </c>
      <c r="G61" s="494">
        <f t="shared" si="46"/>
        <v>0</v>
      </c>
      <c r="H61" s="494">
        <f t="shared" si="46"/>
        <v>0</v>
      </c>
      <c r="I61" s="494">
        <f t="shared" si="46"/>
        <v>0</v>
      </c>
      <c r="J61" s="494">
        <f t="shared" si="46"/>
        <v>1884.1749999999997</v>
      </c>
      <c r="L61" s="488">
        <f t="shared" ref="L61:T61" si="47">+(L22+L23)*1000</f>
        <v>3.1</v>
      </c>
      <c r="M61" s="488">
        <f t="shared" si="47"/>
        <v>0</v>
      </c>
      <c r="N61" s="488">
        <f>+(N22+N23)*1000</f>
        <v>1686.9999999999998</v>
      </c>
      <c r="O61" s="488">
        <f t="shared" si="47"/>
        <v>194.07499999999996</v>
      </c>
      <c r="P61" s="488">
        <f t="shared" si="47"/>
        <v>0</v>
      </c>
      <c r="Q61" s="488">
        <f t="shared" si="47"/>
        <v>0</v>
      </c>
      <c r="R61" s="488">
        <f t="shared" si="47"/>
        <v>0</v>
      </c>
      <c r="S61" s="488">
        <f t="shared" si="47"/>
        <v>0</v>
      </c>
      <c r="T61" s="489">
        <f t="shared" si="47"/>
        <v>1884.175</v>
      </c>
      <c r="U61" s="499"/>
      <c r="V61" s="499"/>
    </row>
    <row r="62" spans="2:22" ht="15.75" thickBot="1" x14ac:dyDescent="0.3">
      <c r="B62" s="495" t="s">
        <v>296</v>
      </c>
      <c r="C62" s="494">
        <f t="shared" ref="C62:J62" si="48">+(C28+C27)*1000</f>
        <v>97.845999999999989</v>
      </c>
      <c r="D62" s="494">
        <f t="shared" si="48"/>
        <v>864.07275080000022</v>
      </c>
      <c r="E62" s="494">
        <f t="shared" si="48"/>
        <v>1178.6124224000005</v>
      </c>
      <c r="F62" s="494">
        <f t="shared" si="48"/>
        <v>848.53231680000044</v>
      </c>
      <c r="G62" s="494">
        <f t="shared" si="48"/>
        <v>565.68821120000018</v>
      </c>
      <c r="H62" s="494">
        <f t="shared" si="48"/>
        <v>282.84410560000009</v>
      </c>
      <c r="I62" s="494">
        <f t="shared" si="48"/>
        <v>35.355513200000011</v>
      </c>
      <c r="J62" s="494">
        <f t="shared" si="48"/>
        <v>3872.951320000001</v>
      </c>
      <c r="L62" s="488">
        <f t="shared" ref="L62:T62" si="49">+(L28+L27)*1000</f>
        <v>0</v>
      </c>
      <c r="M62" s="488">
        <f t="shared" si="49"/>
        <v>0</v>
      </c>
      <c r="N62" s="488">
        <f t="shared" si="49"/>
        <v>1987.6763200000012</v>
      </c>
      <c r="O62" s="488">
        <f t="shared" si="49"/>
        <v>1885.2750000000003</v>
      </c>
      <c r="P62" s="488">
        <f t="shared" si="49"/>
        <v>0</v>
      </c>
      <c r="Q62" s="488">
        <f t="shared" si="49"/>
        <v>0</v>
      </c>
      <c r="R62" s="488">
        <f t="shared" si="49"/>
        <v>0</v>
      </c>
      <c r="S62" s="488">
        <f t="shared" si="49"/>
        <v>0</v>
      </c>
      <c r="T62" s="489">
        <f t="shared" si="49"/>
        <v>3872.9513200000015</v>
      </c>
      <c r="U62" s="499"/>
      <c r="V62" s="499"/>
    </row>
    <row r="63" spans="2:22" ht="15.75" thickBot="1" x14ac:dyDescent="0.3">
      <c r="B63" s="492" t="s">
        <v>711</v>
      </c>
      <c r="C63" s="496">
        <f>SUBTOTAL(9,C59:C62)</f>
        <v>886.45774999999992</v>
      </c>
      <c r="D63" s="496">
        <f t="shared" ref="D63:T63" si="50">SUBTOTAL(9,D59:D62)</f>
        <v>2131.2855008000001</v>
      </c>
      <c r="E63" s="496">
        <f t="shared" si="50"/>
        <v>1852.9629224000005</v>
      </c>
      <c r="F63" s="496">
        <f t="shared" si="50"/>
        <v>1259.5323168000004</v>
      </c>
      <c r="G63" s="496">
        <f t="shared" si="50"/>
        <v>781.68821120000018</v>
      </c>
      <c r="H63" s="496">
        <f t="shared" si="50"/>
        <v>498.84410560000009</v>
      </c>
      <c r="I63" s="496">
        <f t="shared" si="50"/>
        <v>35.355513200000011</v>
      </c>
      <c r="J63" s="496">
        <f t="shared" si="50"/>
        <v>7446.1263200000012</v>
      </c>
      <c r="L63" s="493">
        <f t="shared" si="50"/>
        <v>68.099999999999994</v>
      </c>
      <c r="M63" s="493">
        <f t="shared" si="50"/>
        <v>0</v>
      </c>
      <c r="N63" s="493">
        <f t="shared" si="50"/>
        <v>5298.6763200000014</v>
      </c>
      <c r="O63" s="493">
        <f t="shared" si="50"/>
        <v>2079.3500000000004</v>
      </c>
      <c r="P63" s="493">
        <f t="shared" si="50"/>
        <v>0</v>
      </c>
      <c r="Q63" s="493">
        <f t="shared" si="50"/>
        <v>0</v>
      </c>
      <c r="R63" s="493">
        <f t="shared" si="50"/>
        <v>0</v>
      </c>
      <c r="S63" s="493">
        <f t="shared" si="50"/>
        <v>0</v>
      </c>
      <c r="T63" s="493">
        <f t="shared" si="50"/>
        <v>7446.1263200000012</v>
      </c>
    </row>
    <row r="64" spans="2:22" x14ac:dyDescent="0.25">
      <c r="C64" s="497">
        <f>+C63-(C35+C37)*1000</f>
        <v>0</v>
      </c>
      <c r="D64" s="497">
        <f t="shared" ref="D64:J64" si="51">+D63-(D35+D37)*1000</f>
        <v>0</v>
      </c>
      <c r="E64" s="497">
        <f t="shared" si="51"/>
        <v>0</v>
      </c>
      <c r="F64" s="497">
        <f t="shared" si="51"/>
        <v>0</v>
      </c>
      <c r="G64" s="497">
        <f t="shared" si="51"/>
        <v>0</v>
      </c>
      <c r="H64" s="497">
        <f t="shared" si="51"/>
        <v>0</v>
      </c>
      <c r="I64" s="497">
        <f t="shared" si="51"/>
        <v>0</v>
      </c>
      <c r="J64" s="497">
        <f t="shared" si="51"/>
        <v>0</v>
      </c>
      <c r="L64" s="335">
        <f t="shared" ref="L64:T64" si="52">+L63-(L35+L37)*1000</f>
        <v>0</v>
      </c>
      <c r="M64" s="335">
        <f t="shared" si="52"/>
        <v>0</v>
      </c>
      <c r="N64" s="335">
        <f t="shared" si="52"/>
        <v>0</v>
      </c>
      <c r="O64" s="335">
        <f t="shared" si="52"/>
        <v>0</v>
      </c>
      <c r="P64" s="335">
        <f t="shared" si="52"/>
        <v>0</v>
      </c>
      <c r="Q64" s="335">
        <f t="shared" si="52"/>
        <v>0</v>
      </c>
      <c r="R64" s="335">
        <f t="shared" si="52"/>
        <v>0</v>
      </c>
      <c r="S64" s="335">
        <f t="shared" si="52"/>
        <v>0</v>
      </c>
      <c r="T64" s="335">
        <f t="shared" si="52"/>
        <v>0</v>
      </c>
    </row>
    <row r="65" spans="2:20" x14ac:dyDescent="0.25">
      <c r="C65" s="497"/>
      <c r="D65" s="497"/>
      <c r="E65" s="497"/>
      <c r="F65" s="497"/>
      <c r="G65" s="497"/>
      <c r="H65" s="497"/>
      <c r="I65" s="497"/>
      <c r="J65" s="497"/>
    </row>
    <row r="66" spans="2:20" ht="30.75" thickBot="1" x14ac:dyDescent="0.3">
      <c r="B66" s="486" t="s">
        <v>723</v>
      </c>
      <c r="C66" s="503">
        <v>2019</v>
      </c>
      <c r="D66" s="503">
        <v>2020</v>
      </c>
      <c r="E66" s="503">
        <v>2021</v>
      </c>
      <c r="F66" s="503">
        <v>2022</v>
      </c>
      <c r="G66" s="503">
        <v>2023</v>
      </c>
      <c r="H66" s="503">
        <v>2024</v>
      </c>
      <c r="I66" s="498" t="s">
        <v>186</v>
      </c>
      <c r="J66" s="498" t="s">
        <v>709</v>
      </c>
      <c r="L66" s="728" t="s">
        <v>847</v>
      </c>
      <c r="M66" s="499" t="s">
        <v>817</v>
      </c>
      <c r="N66" s="499"/>
      <c r="O66" s="499"/>
      <c r="P66" s="499"/>
      <c r="Q66" s="499"/>
      <c r="R66" s="499"/>
      <c r="S66" s="499"/>
      <c r="T66" s="499"/>
    </row>
    <row r="67" spans="2:20" x14ac:dyDescent="0.25">
      <c r="B67" s="487" t="s">
        <v>358</v>
      </c>
      <c r="C67" s="494">
        <v>0</v>
      </c>
      <c r="D67" s="494">
        <v>0</v>
      </c>
      <c r="E67" s="494">
        <f>+CALC_Funding!N158/1000</f>
        <v>486.2</v>
      </c>
      <c r="F67" s="494">
        <f>+CALC_Funding!O158/1000</f>
        <v>486.2</v>
      </c>
      <c r="G67" s="494">
        <f>+CALC_Funding!P158/1000</f>
        <v>486.2</v>
      </c>
      <c r="H67" s="494">
        <f>+CALC_Funding!Q158/1000</f>
        <v>487.5320547945206</v>
      </c>
      <c r="I67" s="494">
        <v>0</v>
      </c>
      <c r="J67" s="494">
        <f t="shared" ref="J67:J71" si="53">SUM(C67:I67)</f>
        <v>1946.1320547945206</v>
      </c>
      <c r="L67" s="696">
        <v>1946.1320547945199</v>
      </c>
      <c r="M67" s="693" t="str">
        <f>IF(J67=L67,"",1)</f>
        <v/>
      </c>
      <c r="N67" s="497">
        <f t="shared" ref="N67:N68" si="54">+L67-J67</f>
        <v>0</v>
      </c>
    </row>
    <row r="68" spans="2:20" x14ac:dyDescent="0.25">
      <c r="B68" s="487" t="s">
        <v>354</v>
      </c>
      <c r="C68" s="494">
        <v>0</v>
      </c>
      <c r="D68" s="494">
        <v>0</v>
      </c>
      <c r="E68" s="494">
        <f>+CALC_Funding!N159/1000</f>
        <v>4051.5</v>
      </c>
      <c r="F68" s="494">
        <f>+CALC_Funding!O159/1000</f>
        <v>3611.0666666666666</v>
      </c>
      <c r="G68" s="494">
        <f>+CALC_Funding!P159/1000</f>
        <v>3170.6333333333337</v>
      </c>
      <c r="H68" s="494">
        <f>+CALC_Funding!Q159/1000</f>
        <v>2737.6800000000003</v>
      </c>
      <c r="I68" s="494">
        <v>0</v>
      </c>
      <c r="J68" s="494">
        <f t="shared" si="53"/>
        <v>13570.880000000001</v>
      </c>
      <c r="L68" s="696">
        <v>14125.989999999998</v>
      </c>
      <c r="M68" s="694">
        <f t="shared" ref="M68:M89" si="55">IF(J68=L68,"",1)</f>
        <v>1</v>
      </c>
      <c r="N68" s="497">
        <f t="shared" si="54"/>
        <v>555.10999999999694</v>
      </c>
    </row>
    <row r="69" spans="2:20" x14ac:dyDescent="0.25">
      <c r="B69" s="487" t="s">
        <v>355</v>
      </c>
      <c r="C69" s="494">
        <v>0</v>
      </c>
      <c r="D69" s="494">
        <v>0</v>
      </c>
      <c r="E69" s="494">
        <f>+CALC_Funding!N160/1000</f>
        <v>894.25</v>
      </c>
      <c r="F69" s="494">
        <f>+CALC_Funding!O160/1000</f>
        <v>833.41666666666663</v>
      </c>
      <c r="G69" s="494">
        <f>+CALC_Funding!P160/1000</f>
        <v>772.58333333333337</v>
      </c>
      <c r="H69" s="494">
        <f>+CALC_Funding!Q160/1000</f>
        <v>713.70000000000016</v>
      </c>
      <c r="I69" s="494">
        <v>0</v>
      </c>
      <c r="J69" s="494">
        <f t="shared" si="53"/>
        <v>3213.9500000000003</v>
      </c>
      <c r="L69" s="696">
        <v>4419.1499999999996</v>
      </c>
      <c r="M69" s="694">
        <f t="shared" si="55"/>
        <v>1</v>
      </c>
      <c r="N69" s="497">
        <f>+L69-J69</f>
        <v>1205.1999999999994</v>
      </c>
    </row>
    <row r="70" spans="2:20" ht="15.75" thickBot="1" x14ac:dyDescent="0.3">
      <c r="B70" s="500" t="s">
        <v>724</v>
      </c>
      <c r="C70" s="501">
        <f t="shared" ref="C70:H71" si="56">SUM(C67:C69)*-0.05</f>
        <v>0</v>
      </c>
      <c r="D70" s="501">
        <f t="shared" si="56"/>
        <v>0</v>
      </c>
      <c r="E70" s="501">
        <f t="shared" si="56"/>
        <v>-271.59750000000003</v>
      </c>
      <c r="F70" s="501">
        <f t="shared" si="56"/>
        <v>-246.53416666666669</v>
      </c>
      <c r="G70" s="501">
        <f t="shared" si="56"/>
        <v>-221.47083333333336</v>
      </c>
      <c r="H70" s="501">
        <f t="shared" si="56"/>
        <v>-196.94560273972607</v>
      </c>
      <c r="I70" s="501">
        <v>0</v>
      </c>
      <c r="J70" s="494">
        <f t="shared" si="53"/>
        <v>-936.548102739726</v>
      </c>
      <c r="L70" s="696">
        <v>-1024.5636027397261</v>
      </c>
      <c r="M70" s="694">
        <f t="shared" si="55"/>
        <v>1</v>
      </c>
      <c r="N70" s="497">
        <f t="shared" ref="N70:N88" si="57">+L70-J70</f>
        <v>-88.015500000000088</v>
      </c>
    </row>
    <row r="71" spans="2:20" ht="15.75" thickBot="1" x14ac:dyDescent="0.3">
      <c r="B71" s="492" t="s">
        <v>711</v>
      </c>
      <c r="C71" s="496">
        <f t="shared" ref="C71:I71" si="58">SUM(C67:C70)</f>
        <v>0</v>
      </c>
      <c r="D71" s="496">
        <f t="shared" si="56"/>
        <v>0</v>
      </c>
      <c r="E71" s="496">
        <f t="shared" si="58"/>
        <v>5160.3525</v>
      </c>
      <c r="F71" s="496">
        <f t="shared" si="58"/>
        <v>4684.149166666667</v>
      </c>
      <c r="G71" s="496">
        <f t="shared" si="58"/>
        <v>4207.9458333333332</v>
      </c>
      <c r="H71" s="496">
        <f t="shared" si="58"/>
        <v>3741.9664520547954</v>
      </c>
      <c r="I71" s="496">
        <f t="shared" si="58"/>
        <v>0</v>
      </c>
      <c r="J71" s="496">
        <f t="shared" si="53"/>
        <v>17794.413952054794</v>
      </c>
      <c r="L71" s="696">
        <v>19466.708452054794</v>
      </c>
      <c r="M71" s="694">
        <f t="shared" si="55"/>
        <v>1</v>
      </c>
      <c r="N71" s="497">
        <f t="shared" si="57"/>
        <v>1672.2945</v>
      </c>
    </row>
    <row r="72" spans="2:20" ht="15.75" thickBot="1" x14ac:dyDescent="0.3">
      <c r="B72" s="502" t="s">
        <v>725</v>
      </c>
      <c r="C72" s="501"/>
      <c r="D72" s="501"/>
      <c r="E72" s="501">
        <f>+SUM(CALC_Funding!N145:N146)/1000</f>
        <v>-300</v>
      </c>
      <c r="F72" s="501">
        <f>+SUM(CALC_Funding!O145:O146)/1000</f>
        <v>-300</v>
      </c>
      <c r="G72" s="501">
        <f>+SUM(CALC_Funding!P145:P146)/1000</f>
        <v>-300</v>
      </c>
      <c r="H72" s="501">
        <f>+SUM(CALC_Funding!Q145:Q146)/1000</f>
        <v>-300</v>
      </c>
      <c r="I72" s="501">
        <f>+SUM(CALC_Funding!R145:R146)/1000</f>
        <v>-405.6</v>
      </c>
      <c r="J72" s="494">
        <f>SUM(E72:I72)</f>
        <v>-1605.6</v>
      </c>
      <c r="L72" s="696">
        <v>-1605.6</v>
      </c>
      <c r="M72" s="694" t="str">
        <f t="shared" si="55"/>
        <v/>
      </c>
      <c r="N72" s="497"/>
    </row>
    <row r="73" spans="2:20" ht="15.75" thickBot="1" x14ac:dyDescent="0.3">
      <c r="B73" s="492" t="s">
        <v>726</v>
      </c>
      <c r="C73" s="496">
        <f t="shared" ref="C73:J73" si="59">+C71+C72</f>
        <v>0</v>
      </c>
      <c r="D73" s="496">
        <f t="shared" si="59"/>
        <v>0</v>
      </c>
      <c r="E73" s="496">
        <f t="shared" si="59"/>
        <v>4860.3525</v>
      </c>
      <c r="F73" s="496">
        <f t="shared" si="59"/>
        <v>4384.149166666667</v>
      </c>
      <c r="G73" s="496">
        <f t="shared" si="59"/>
        <v>3907.9458333333332</v>
      </c>
      <c r="H73" s="496">
        <f t="shared" si="59"/>
        <v>3441.9664520547954</v>
      </c>
      <c r="I73" s="496">
        <f t="shared" si="59"/>
        <v>-405.6</v>
      </c>
      <c r="J73" s="496">
        <f t="shared" si="59"/>
        <v>16188.813952054794</v>
      </c>
      <c r="L73" s="696">
        <v>17861.108452054796</v>
      </c>
      <c r="M73" s="695">
        <f t="shared" si="55"/>
        <v>1</v>
      </c>
      <c r="N73" s="497">
        <f t="shared" si="57"/>
        <v>1672.2945000000018</v>
      </c>
    </row>
    <row r="74" spans="2:20" x14ac:dyDescent="0.25">
      <c r="C74" s="497"/>
      <c r="D74" s="497"/>
      <c r="E74" s="497"/>
      <c r="F74" s="497"/>
      <c r="G74" s="497"/>
      <c r="H74" s="497"/>
      <c r="I74" s="497"/>
      <c r="J74" s="497"/>
      <c r="L74" s="497"/>
      <c r="M74" s="694"/>
      <c r="N74" s="497"/>
    </row>
    <row r="75" spans="2:20" ht="30" x14ac:dyDescent="0.25">
      <c r="B75" s="486" t="s">
        <v>727</v>
      </c>
      <c r="C75" s="503">
        <v>2019</v>
      </c>
      <c r="D75" s="503">
        <v>2020</v>
      </c>
      <c r="E75" s="503">
        <v>2021</v>
      </c>
      <c r="F75" s="503">
        <v>2022</v>
      </c>
      <c r="G75" s="503">
        <v>2023</v>
      </c>
      <c r="H75" s="503">
        <v>2024</v>
      </c>
      <c r="I75" s="498" t="s">
        <v>186</v>
      </c>
      <c r="J75" s="498" t="s">
        <v>709</v>
      </c>
      <c r="L75" s="497" t="s">
        <v>816</v>
      </c>
      <c r="M75" s="694"/>
      <c r="N75" s="497"/>
    </row>
    <row r="76" spans="2:20" ht="15.75" thickBot="1" x14ac:dyDescent="0.3">
      <c r="B76" s="504" t="s">
        <v>728</v>
      </c>
      <c r="C76" s="494"/>
      <c r="D76" s="494"/>
      <c r="E76" s="494"/>
      <c r="F76" s="494"/>
      <c r="G76" s="494"/>
      <c r="H76" s="494"/>
      <c r="I76" s="494"/>
      <c r="J76" s="494"/>
      <c r="L76" s="497"/>
      <c r="M76" s="694"/>
      <c r="N76" s="497"/>
    </row>
    <row r="77" spans="2:20" x14ac:dyDescent="0.25">
      <c r="B77" s="487" t="s">
        <v>729</v>
      </c>
      <c r="C77" s="508">
        <f>+C55</f>
        <v>10205.775</v>
      </c>
      <c r="D77" s="508">
        <f t="shared" ref="D77:E77" si="60">+D55</f>
        <v>17081.907220000001</v>
      </c>
      <c r="E77" s="508">
        <f t="shared" si="60"/>
        <v>10061.78716</v>
      </c>
      <c r="F77" s="494">
        <f>+F55</f>
        <v>5437.1091200000001</v>
      </c>
      <c r="G77" s="494">
        <f>+G55</f>
        <v>3445.6060800000005</v>
      </c>
      <c r="H77" s="494">
        <f>+H55</f>
        <v>1722.8030400000002</v>
      </c>
      <c r="I77" s="505">
        <f>+I55</f>
        <v>215.35038000000003</v>
      </c>
      <c r="J77" s="494">
        <f>SUM(C77:I77)</f>
        <v>48170.338000000003</v>
      </c>
      <c r="L77" s="696">
        <v>47240.338000000003</v>
      </c>
      <c r="M77" s="693">
        <f t="shared" si="55"/>
        <v>1</v>
      </c>
      <c r="N77" s="497">
        <f t="shared" si="57"/>
        <v>-930</v>
      </c>
    </row>
    <row r="78" spans="2:20" x14ac:dyDescent="0.25">
      <c r="B78" s="487" t="s">
        <v>730</v>
      </c>
      <c r="C78" s="494">
        <f t="shared" ref="C78:I78" si="61">+C63</f>
        <v>886.45774999999992</v>
      </c>
      <c r="D78" s="494">
        <f t="shared" si="61"/>
        <v>2131.2855008000001</v>
      </c>
      <c r="E78" s="508">
        <f t="shared" si="61"/>
        <v>1852.9629224000005</v>
      </c>
      <c r="F78" s="508">
        <f t="shared" si="61"/>
        <v>1259.5323168000004</v>
      </c>
      <c r="G78" s="508">
        <f t="shared" si="61"/>
        <v>781.68821120000018</v>
      </c>
      <c r="H78" s="508">
        <f t="shared" si="61"/>
        <v>498.84410560000009</v>
      </c>
      <c r="I78" s="508">
        <f t="shared" si="61"/>
        <v>35.355513200000011</v>
      </c>
      <c r="J78" s="494">
        <f t="shared" ref="J78:J89" si="62">SUM(C78:I78)</f>
        <v>7446.1263200000012</v>
      </c>
      <c r="L78" s="696">
        <v>7446.1263200000012</v>
      </c>
      <c r="M78" s="694" t="str">
        <f t="shared" si="55"/>
        <v/>
      </c>
      <c r="N78" s="497">
        <f t="shared" si="57"/>
        <v>0</v>
      </c>
    </row>
    <row r="79" spans="2:20" x14ac:dyDescent="0.25">
      <c r="B79" t="s">
        <v>764</v>
      </c>
      <c r="C79" s="512">
        <f>CALC_Funding!BJ147/1000</f>
        <v>2415</v>
      </c>
      <c r="D79" s="512">
        <f>CALC_Funding!BK147/1000</f>
        <v>2550</v>
      </c>
      <c r="E79" s="512">
        <f>CALC_Funding!BL147/1000</f>
        <v>330</v>
      </c>
      <c r="F79" s="512">
        <f>CALC_Funding!BM147/1000</f>
        <v>0</v>
      </c>
      <c r="G79" s="512">
        <f>CALC_Funding!BN147/1000</f>
        <v>0</v>
      </c>
      <c r="H79" s="512">
        <f>CALC_Funding!BO147/1000</f>
        <v>0</v>
      </c>
      <c r="I79" s="512">
        <f>CALC_Funding!BP147/1000</f>
        <v>0</v>
      </c>
      <c r="J79" s="494">
        <f t="shared" si="62"/>
        <v>5295</v>
      </c>
      <c r="K79" s="23"/>
      <c r="L79" s="696">
        <v>4644</v>
      </c>
      <c r="M79" s="694">
        <f t="shared" si="55"/>
        <v>1</v>
      </c>
      <c r="N79" s="497">
        <f t="shared" si="57"/>
        <v>-651</v>
      </c>
    </row>
    <row r="80" spans="2:20" x14ac:dyDescent="0.25">
      <c r="B80" s="506" t="s">
        <v>735</v>
      </c>
      <c r="C80" s="507">
        <f>C77+C78-C79</f>
        <v>8677.2327499999992</v>
      </c>
      <c r="D80" s="507">
        <f t="shared" ref="D80:J80" si="63">D77+D78-D79</f>
        <v>16663.192720800002</v>
      </c>
      <c r="E80" s="507">
        <f t="shared" si="63"/>
        <v>11584.7500824</v>
      </c>
      <c r="F80" s="507">
        <f t="shared" si="63"/>
        <v>6696.6414368000005</v>
      </c>
      <c r="G80" s="507">
        <f t="shared" si="63"/>
        <v>4227.2942912000008</v>
      </c>
      <c r="H80" s="507">
        <f t="shared" si="63"/>
        <v>2221.6471456000004</v>
      </c>
      <c r="I80" s="507">
        <f t="shared" si="63"/>
        <v>250.70589320000005</v>
      </c>
      <c r="J80" s="507">
        <f t="shared" si="63"/>
        <v>50321.464320000006</v>
      </c>
      <c r="L80" s="696">
        <v>50042.464320000006</v>
      </c>
      <c r="M80" s="694">
        <f t="shared" si="55"/>
        <v>1</v>
      </c>
      <c r="N80" s="497">
        <f t="shared" si="57"/>
        <v>-279</v>
      </c>
      <c r="O80" s="514"/>
      <c r="P80" s="514"/>
      <c r="Q80" s="514"/>
      <c r="R80" s="514"/>
      <c r="S80" s="514"/>
      <c r="T80" s="514"/>
    </row>
    <row r="81" spans="2:21" x14ac:dyDescent="0.25">
      <c r="B81" s="504" t="s">
        <v>731</v>
      </c>
      <c r="C81" s="494"/>
      <c r="D81" s="494"/>
      <c r="E81" s="494"/>
      <c r="F81" s="494"/>
      <c r="G81" s="494"/>
      <c r="H81" s="494"/>
      <c r="I81" s="494"/>
      <c r="J81" s="494"/>
      <c r="L81" s="696"/>
      <c r="M81" s="694" t="str">
        <f t="shared" si="55"/>
        <v/>
      </c>
      <c r="N81" s="497">
        <f t="shared" si="57"/>
        <v>0</v>
      </c>
      <c r="O81" s="23"/>
      <c r="P81" s="23"/>
      <c r="Q81" s="23"/>
      <c r="R81" s="23"/>
      <c r="S81" s="23"/>
      <c r="T81" s="23"/>
      <c r="U81" s="23"/>
    </row>
    <row r="82" spans="2:21" x14ac:dyDescent="0.25">
      <c r="B82" s="582" t="str">
        <f>CALC_Funding!K148</f>
        <v>Early Measures Fund</v>
      </c>
      <c r="C82" s="508">
        <f>CALC_Funding!L148/1000</f>
        <v>1952.1</v>
      </c>
      <c r="D82" s="508">
        <f>CALC_Funding!M148/1000</f>
        <v>0</v>
      </c>
      <c r="E82" s="508">
        <f>CALC_Funding!N148/1000</f>
        <v>0</v>
      </c>
      <c r="F82" s="508">
        <f>CALC_Funding!O148/1000</f>
        <v>0</v>
      </c>
      <c r="G82" s="508">
        <f>CALC_Funding!P148/1000</f>
        <v>0</v>
      </c>
      <c r="H82" s="508">
        <f>CALC_Funding!Q148/1000</f>
        <v>0</v>
      </c>
      <c r="I82" s="508">
        <f>CALC_Funding!R148/1000</f>
        <v>0</v>
      </c>
      <c r="J82" s="494">
        <f t="shared" si="62"/>
        <v>1952.1</v>
      </c>
      <c r="K82" s="99"/>
      <c r="L82" s="696">
        <v>1952.1</v>
      </c>
      <c r="M82" s="694" t="str">
        <f t="shared" si="55"/>
        <v/>
      </c>
      <c r="N82" s="497">
        <f t="shared" si="57"/>
        <v>0</v>
      </c>
      <c r="O82" s="32"/>
      <c r="P82" s="32"/>
      <c r="Q82" s="32"/>
      <c r="R82" s="32"/>
      <c r="S82" s="32"/>
      <c r="T82" s="583"/>
      <c r="U82" s="32"/>
    </row>
    <row r="83" spans="2:21" x14ac:dyDescent="0.25">
      <c r="B83" s="582" t="str">
        <f>CALC_Funding!K149</f>
        <v>OLEV Funding</v>
      </c>
      <c r="C83" s="508">
        <f>CALC_Funding!L149/1000</f>
        <v>15</v>
      </c>
      <c r="D83" s="508">
        <f>CALC_Funding!M149/1000</f>
        <v>907.5</v>
      </c>
      <c r="E83" s="508">
        <f>CALC_Funding!N149/1000</f>
        <v>990</v>
      </c>
      <c r="F83" s="508">
        <f>CALC_Funding!O149/1000</f>
        <v>0</v>
      </c>
      <c r="G83" s="508">
        <f>CALC_Funding!P149/1000</f>
        <v>0</v>
      </c>
      <c r="H83" s="508">
        <f>CALC_Funding!Q149/1000</f>
        <v>0</v>
      </c>
      <c r="I83" s="508">
        <f>CALC_Funding!R149/1000</f>
        <v>0</v>
      </c>
      <c r="J83" s="494">
        <f t="shared" si="62"/>
        <v>1912.5</v>
      </c>
      <c r="K83" s="99"/>
      <c r="L83" s="696">
        <v>1912.5</v>
      </c>
      <c r="M83" s="694" t="str">
        <f t="shared" si="55"/>
        <v/>
      </c>
      <c r="N83" s="497">
        <f t="shared" si="57"/>
        <v>0</v>
      </c>
      <c r="O83" s="584"/>
      <c r="P83" s="584"/>
      <c r="Q83" s="584"/>
      <c r="R83" s="584"/>
      <c r="S83" s="584"/>
      <c r="T83" s="584"/>
      <c r="U83" s="32"/>
    </row>
    <row r="84" spans="2:21" x14ac:dyDescent="0.25">
      <c r="B84" s="582" t="str">
        <f>CALC_Funding!K150</f>
        <v>Implementation Fund</v>
      </c>
      <c r="C84" s="508">
        <f>CALC_Funding!L150/1000</f>
        <v>2785.9760000000001</v>
      </c>
      <c r="D84" s="508">
        <f>CALC_Funding!M150/1000</f>
        <v>11152.5437208</v>
      </c>
      <c r="E84" s="508">
        <f>CALC_Funding!N150/1000</f>
        <v>6189.3445824000009</v>
      </c>
      <c r="F84" s="508">
        <f>CALC_Funding!O150/1000</f>
        <v>4063.871436800001</v>
      </c>
      <c r="G84" s="508">
        <f>CALC_Funding!P150/1000</f>
        <v>2472.1142912000005</v>
      </c>
      <c r="H84" s="508">
        <f>CALC_Funding!Q150/1000</f>
        <v>1344.0571456000002</v>
      </c>
      <c r="I84" s="508">
        <f>CALC_Funding!R150/1000</f>
        <v>141.00714320000006</v>
      </c>
      <c r="J84" s="494">
        <f t="shared" si="62"/>
        <v>28148.914320000003</v>
      </c>
      <c r="K84" s="499"/>
      <c r="L84" s="696">
        <v>36740.608528000004</v>
      </c>
      <c r="M84" s="694">
        <f t="shared" si="55"/>
        <v>1</v>
      </c>
      <c r="N84" s="497">
        <f t="shared" si="57"/>
        <v>8591.6942080000008</v>
      </c>
      <c r="O84" s="513"/>
      <c r="P84" s="513"/>
      <c r="Q84" s="513"/>
      <c r="R84" s="513"/>
      <c r="S84" s="513"/>
      <c r="T84" s="513"/>
      <c r="U84" s="32"/>
    </row>
    <row r="85" spans="2:21" x14ac:dyDescent="0.25">
      <c r="B85" s="582" t="str">
        <f>CALC_Funding!K151</f>
        <v>Clean Air Fund</v>
      </c>
      <c r="C85" s="508">
        <f>CALC_Funding!L151/1000</f>
        <v>924.15674999999999</v>
      </c>
      <c r="D85" s="508">
        <f>CALC_Funding!M151/1000</f>
        <v>4340.6490000000003</v>
      </c>
      <c r="E85" s="508">
        <f>CALC_Funding!N151/1000</f>
        <v>4405.4054999999998</v>
      </c>
      <c r="F85" s="508">
        <f>CALC_Funding!O151/1000</f>
        <v>2632.7700000000004</v>
      </c>
      <c r="G85" s="508">
        <f>CALC_Funding!P151/1000</f>
        <v>1755.1800000000003</v>
      </c>
      <c r="H85" s="508">
        <f>CALC_Funding!Q151/1000</f>
        <v>877.59000000000015</v>
      </c>
      <c r="I85" s="508">
        <f>CALC_Funding!R151/1000</f>
        <v>109.69875000000002</v>
      </c>
      <c r="J85" s="494">
        <f t="shared" si="62"/>
        <v>15045.45</v>
      </c>
      <c r="K85" s="99"/>
      <c r="L85" s="696">
        <v>9174.7557920000017</v>
      </c>
      <c r="M85" s="694">
        <f t="shared" si="55"/>
        <v>1</v>
      </c>
      <c r="N85" s="497">
        <f t="shared" si="57"/>
        <v>-5870.694207999999</v>
      </c>
      <c r="O85" s="513"/>
      <c r="P85" s="513"/>
      <c r="Q85" s="513"/>
      <c r="R85" s="513"/>
      <c r="S85" s="513"/>
      <c r="T85" s="513"/>
      <c r="U85" s="32"/>
    </row>
    <row r="86" spans="2:21" x14ac:dyDescent="0.25">
      <c r="B86" s="582" t="str">
        <f>CALC_Funding!K152</f>
        <v>Other Government Funding</v>
      </c>
      <c r="C86" s="508">
        <f>CALC_Funding!L152/1000</f>
        <v>3000</v>
      </c>
      <c r="D86" s="508">
        <f>CALC_Funding!M152/1000</f>
        <v>0</v>
      </c>
      <c r="E86" s="508">
        <f>CALC_Funding!N152/1000</f>
        <v>0</v>
      </c>
      <c r="F86" s="508">
        <f>CALC_Funding!O152/1000</f>
        <v>0</v>
      </c>
      <c r="G86" s="508">
        <f>CALC_Funding!P152/1000</f>
        <v>0</v>
      </c>
      <c r="H86" s="508">
        <f>CALC_Funding!Q152/1000</f>
        <v>0</v>
      </c>
      <c r="I86" s="508">
        <f>CALC_Funding!R152/1000</f>
        <v>0</v>
      </c>
      <c r="J86" s="494">
        <f t="shared" si="62"/>
        <v>3000</v>
      </c>
      <c r="K86" s="99"/>
      <c r="L86" s="696">
        <v>0</v>
      </c>
      <c r="M86" s="694">
        <f t="shared" si="55"/>
        <v>1</v>
      </c>
      <c r="N86" s="497">
        <f t="shared" si="57"/>
        <v>-3000</v>
      </c>
      <c r="O86" s="513"/>
      <c r="P86" s="513"/>
      <c r="Q86" s="513"/>
      <c r="R86" s="513"/>
      <c r="S86" s="513"/>
      <c r="T86" s="513"/>
      <c r="U86" s="32"/>
    </row>
    <row r="87" spans="2:21" x14ac:dyDescent="0.25">
      <c r="B87" s="582" t="str">
        <f>CALC_Funding!K153</f>
        <v>Council Funded</v>
      </c>
      <c r="C87" s="508">
        <f>CALC_Funding!L153/1000</f>
        <v>0</v>
      </c>
      <c r="D87" s="508">
        <f>CALC_Funding!M153/1000</f>
        <v>262.5</v>
      </c>
      <c r="E87" s="508">
        <f>CALC_Funding!N153/1000</f>
        <v>0</v>
      </c>
      <c r="F87" s="508">
        <f>CALC_Funding!O153/1000</f>
        <v>0</v>
      </c>
      <c r="G87" s="508">
        <f>CALC_Funding!P153/1000</f>
        <v>0</v>
      </c>
      <c r="H87" s="508">
        <f>CALC_Funding!Q153/1000</f>
        <v>0</v>
      </c>
      <c r="I87" s="508">
        <f>CALC_Funding!R153/1000</f>
        <v>0</v>
      </c>
      <c r="J87" s="494">
        <f t="shared" si="62"/>
        <v>262.5</v>
      </c>
      <c r="K87" s="99"/>
      <c r="L87" s="696">
        <v>262.5</v>
      </c>
      <c r="M87" s="694" t="str">
        <f t="shared" si="55"/>
        <v/>
      </c>
      <c r="N87" s="497">
        <f t="shared" si="57"/>
        <v>0</v>
      </c>
      <c r="O87" s="513"/>
      <c r="P87" s="513"/>
      <c r="Q87" s="513"/>
      <c r="R87" s="513"/>
      <c r="S87" s="513"/>
      <c r="T87" s="513"/>
    </row>
    <row r="88" spans="2:21" ht="15.75" thickBot="1" x14ac:dyDescent="0.3">
      <c r="B88" s="506" t="s">
        <v>732</v>
      </c>
      <c r="C88" s="507">
        <f t="shared" ref="C88:I88" si="64">SUM(C82:C87)</f>
        <v>8677.2327499999992</v>
      </c>
      <c r="D88" s="507">
        <f t="shared" si="64"/>
        <v>16663.192720800002</v>
      </c>
      <c r="E88" s="507">
        <f t="shared" si="64"/>
        <v>11584.750082400002</v>
      </c>
      <c r="F88" s="507">
        <f t="shared" si="64"/>
        <v>6696.6414368000014</v>
      </c>
      <c r="G88" s="507">
        <f t="shared" si="64"/>
        <v>4227.2942912000008</v>
      </c>
      <c r="H88" s="507">
        <f t="shared" si="64"/>
        <v>2221.6471456000004</v>
      </c>
      <c r="I88" s="507">
        <f t="shared" si="64"/>
        <v>250.70589320000008</v>
      </c>
      <c r="J88" s="507">
        <f t="shared" si="62"/>
        <v>50321.464320000006</v>
      </c>
      <c r="L88" s="696">
        <v>50042.464320000006</v>
      </c>
      <c r="M88" s="694">
        <f t="shared" si="55"/>
        <v>1</v>
      </c>
      <c r="N88" s="497">
        <f t="shared" si="57"/>
        <v>-279</v>
      </c>
    </row>
    <row r="89" spans="2:21" ht="15.75" thickBot="1" x14ac:dyDescent="0.3">
      <c r="B89" s="492" t="s">
        <v>711</v>
      </c>
      <c r="C89" s="496">
        <f t="shared" ref="C89:I89" si="65">+C80-C88</f>
        <v>0</v>
      </c>
      <c r="D89" s="496">
        <f t="shared" si="65"/>
        <v>0</v>
      </c>
      <c r="E89" s="496">
        <f t="shared" si="65"/>
        <v>0</v>
      </c>
      <c r="F89" s="496">
        <f t="shared" si="65"/>
        <v>0</v>
      </c>
      <c r="G89" s="496">
        <f t="shared" si="65"/>
        <v>0</v>
      </c>
      <c r="H89" s="496">
        <f t="shared" si="65"/>
        <v>0</v>
      </c>
      <c r="I89" s="496">
        <f t="shared" si="65"/>
        <v>0</v>
      </c>
      <c r="J89" s="496">
        <f t="shared" si="62"/>
        <v>0</v>
      </c>
      <c r="L89" s="696">
        <v>0</v>
      </c>
      <c r="M89" s="695" t="str">
        <f t="shared" si="55"/>
        <v/>
      </c>
    </row>
    <row r="90" spans="2:21" x14ac:dyDescent="0.25">
      <c r="B90" s="502"/>
    </row>
    <row r="91" spans="2:21" ht="45" x14ac:dyDescent="0.25">
      <c r="L91" s="486" t="s">
        <v>23</v>
      </c>
      <c r="M91" s="486" t="s">
        <v>24</v>
      </c>
      <c r="N91" s="486" t="s">
        <v>19</v>
      </c>
      <c r="O91" s="486" t="s">
        <v>18</v>
      </c>
      <c r="P91" s="486" t="s">
        <v>710</v>
      </c>
      <c r="Q91" s="486" t="s">
        <v>20</v>
      </c>
      <c r="R91" s="486" t="s">
        <v>711</v>
      </c>
      <c r="S91" s="486" t="s">
        <v>856</v>
      </c>
    </row>
    <row r="92" spans="2:21" x14ac:dyDescent="0.25">
      <c r="B92" s="504" t="s">
        <v>729</v>
      </c>
      <c r="C92" s="494">
        <f>+C77-C79</f>
        <v>7790.7749999999996</v>
      </c>
      <c r="D92" s="494">
        <f t="shared" ref="D92:J92" si="66">+D77-D79</f>
        <v>14531.907220000001</v>
      </c>
      <c r="E92" s="494">
        <f t="shared" si="66"/>
        <v>9731.7871599999999</v>
      </c>
      <c r="F92" s="494">
        <f t="shared" si="66"/>
        <v>5437.1091200000001</v>
      </c>
      <c r="G92" s="494">
        <f t="shared" si="66"/>
        <v>3445.6060800000005</v>
      </c>
      <c r="H92" s="494">
        <f t="shared" si="66"/>
        <v>1722.8030400000002</v>
      </c>
      <c r="I92" s="494">
        <f t="shared" si="66"/>
        <v>215.35038000000003</v>
      </c>
      <c r="J92" s="494">
        <f t="shared" si="66"/>
        <v>42875.338000000003</v>
      </c>
      <c r="K92" s="504" t="s">
        <v>729</v>
      </c>
      <c r="L92" s="494">
        <f>+L55</f>
        <v>1884.0000000000002</v>
      </c>
      <c r="M92" s="494">
        <f t="shared" ref="M92:Q92" si="67">+M55</f>
        <v>1912.4999999999998</v>
      </c>
      <c r="N92" s="494">
        <f t="shared" si="67"/>
        <v>22850.238000000001</v>
      </c>
      <c r="O92" s="494">
        <f t="shared" si="67"/>
        <v>12966.1</v>
      </c>
      <c r="P92" s="494">
        <f t="shared" si="67"/>
        <v>3000</v>
      </c>
      <c r="Q92" s="494">
        <f t="shared" si="67"/>
        <v>262.5</v>
      </c>
      <c r="R92" s="494">
        <f>SUM(L92:Q92)</f>
        <v>42875.338000000003</v>
      </c>
      <c r="S92" s="497">
        <f>+Q92+P92+L92+M92</f>
        <v>7059</v>
      </c>
    </row>
    <row r="93" spans="2:21" x14ac:dyDescent="0.25">
      <c r="B93" s="504" t="s">
        <v>730</v>
      </c>
      <c r="C93" s="494">
        <f>+C78</f>
        <v>886.45774999999992</v>
      </c>
      <c r="D93" s="494">
        <f t="shared" ref="D93:J93" si="68">+D78</f>
        <v>2131.2855008000001</v>
      </c>
      <c r="E93" s="494">
        <f t="shared" si="68"/>
        <v>1852.9629224000005</v>
      </c>
      <c r="F93" s="494">
        <f t="shared" si="68"/>
        <v>1259.5323168000004</v>
      </c>
      <c r="G93" s="494">
        <f t="shared" si="68"/>
        <v>781.68821120000018</v>
      </c>
      <c r="H93" s="494">
        <f t="shared" si="68"/>
        <v>498.84410560000009</v>
      </c>
      <c r="I93" s="494">
        <f t="shared" si="68"/>
        <v>35.355513200000011</v>
      </c>
      <c r="J93" s="494">
        <f t="shared" si="68"/>
        <v>7446.1263200000012</v>
      </c>
      <c r="K93" s="504" t="s">
        <v>730</v>
      </c>
      <c r="L93" s="494">
        <f>+L63</f>
        <v>68.099999999999994</v>
      </c>
      <c r="M93" s="494">
        <f t="shared" ref="M93:Q93" si="69">+M63</f>
        <v>0</v>
      </c>
      <c r="N93" s="494">
        <f t="shared" si="69"/>
        <v>5298.6763200000014</v>
      </c>
      <c r="O93" s="494">
        <f t="shared" si="69"/>
        <v>2079.3500000000004</v>
      </c>
      <c r="P93" s="494">
        <f t="shared" si="69"/>
        <v>0</v>
      </c>
      <c r="Q93" s="494">
        <f t="shared" si="69"/>
        <v>0</v>
      </c>
      <c r="R93" s="494">
        <f>SUM(L93:Q93)</f>
        <v>7446.1263200000021</v>
      </c>
      <c r="S93" s="497">
        <f>+Q93+P93+L93+M93</f>
        <v>68.099999999999994</v>
      </c>
    </row>
    <row r="94" spans="2:21" x14ac:dyDescent="0.25">
      <c r="B94" s="506" t="s">
        <v>711</v>
      </c>
      <c r="C94" s="507">
        <f>SUM(C92:C93)</f>
        <v>8677.2327499999992</v>
      </c>
      <c r="D94" s="507">
        <f t="shared" ref="D94:J94" si="70">SUM(D92:D93)</f>
        <v>16663.192720800002</v>
      </c>
      <c r="E94" s="507">
        <f t="shared" si="70"/>
        <v>11584.7500824</v>
      </c>
      <c r="F94" s="507">
        <f t="shared" si="70"/>
        <v>6696.6414368000005</v>
      </c>
      <c r="G94" s="507">
        <f t="shared" si="70"/>
        <v>4227.2942912000008</v>
      </c>
      <c r="H94" s="507">
        <f t="shared" si="70"/>
        <v>2221.6471456000004</v>
      </c>
      <c r="I94" s="507">
        <f t="shared" si="70"/>
        <v>250.70589320000005</v>
      </c>
      <c r="J94" s="507">
        <f t="shared" si="70"/>
        <v>50321.464320000006</v>
      </c>
      <c r="K94" s="506" t="s">
        <v>711</v>
      </c>
      <c r="L94" s="507">
        <f>SUM(L92:L93)</f>
        <v>1952.1000000000001</v>
      </c>
      <c r="M94" s="507">
        <f t="shared" ref="M94:S94" si="71">SUM(M92:M93)</f>
        <v>1912.4999999999998</v>
      </c>
      <c r="N94" s="507">
        <f t="shared" si="71"/>
        <v>28148.914320000003</v>
      </c>
      <c r="O94" s="507">
        <f t="shared" si="71"/>
        <v>15045.45</v>
      </c>
      <c r="P94" s="507">
        <f t="shared" si="71"/>
        <v>3000</v>
      </c>
      <c r="Q94" s="507">
        <f t="shared" si="71"/>
        <v>262.5</v>
      </c>
      <c r="R94" s="507">
        <f t="shared" si="71"/>
        <v>50321.464320000006</v>
      </c>
      <c r="S94" s="507">
        <f t="shared" si="71"/>
        <v>7127.1</v>
      </c>
    </row>
  </sheetData>
  <autoFilter ref="A3:AD30"/>
  <conditionalFormatting sqref="L30:S30">
    <cfRule type="colorScale" priority="12">
      <colorScale>
        <cfvo type="min"/>
        <cfvo type="percentile" val="50"/>
        <cfvo type="max"/>
        <color rgb="FF63BE7B"/>
        <color rgb="FFFFEB84"/>
        <color rgb="FFF8696B"/>
      </colorScale>
    </cfRule>
  </conditionalFormatting>
  <conditionalFormatting sqref="R30">
    <cfRule type="colorScale" priority="13">
      <colorScale>
        <cfvo type="min"/>
        <cfvo type="percentile" val="50"/>
        <cfvo type="max"/>
        <color rgb="FF63BE7B"/>
        <color rgb="FFFFEB84"/>
        <color rgb="FFF8696B"/>
      </colorScale>
    </cfRule>
  </conditionalFormatting>
  <conditionalFormatting sqref="S30">
    <cfRule type="colorScale" priority="14">
      <colorScale>
        <cfvo type="min"/>
        <cfvo type="percentile" val="50"/>
        <cfvo type="max"/>
        <color rgb="FF63BE7B"/>
        <color rgb="FFFFEB84"/>
        <color rgb="FFF8696B"/>
      </colorScale>
    </cfRule>
  </conditionalFormatting>
  <conditionalFormatting sqref="L30:S30">
    <cfRule type="colorScale" priority="15">
      <colorScale>
        <cfvo type="min"/>
        <cfvo type="percentile" val="50"/>
        <cfvo type="max"/>
        <color rgb="FF63BE7B"/>
        <color rgb="FFFFEB84"/>
        <color rgb="FFF8696B"/>
      </colorScale>
    </cfRule>
  </conditionalFormatting>
  <conditionalFormatting sqref="L30:T30">
    <cfRule type="colorScale" priority="16">
      <colorScale>
        <cfvo type="min"/>
        <cfvo type="percentile" val="50"/>
        <cfvo type="max"/>
        <color rgb="FF63BE7B"/>
        <color rgb="FFFFEB84"/>
        <color rgb="FFF8696B"/>
      </colorScale>
    </cfRule>
  </conditionalFormatting>
  <conditionalFormatting sqref="J30:T30">
    <cfRule type="colorScale" priority="17">
      <colorScale>
        <cfvo type="min"/>
        <cfvo type="percentile" val="50"/>
        <cfvo type="max"/>
        <color rgb="FF63BE7B"/>
        <color rgb="FFFFEB84"/>
        <color rgb="FFF8696B"/>
      </colorScale>
    </cfRule>
  </conditionalFormatting>
  <conditionalFormatting sqref="L27:S29">
    <cfRule type="colorScale" priority="7">
      <colorScale>
        <cfvo type="min"/>
        <cfvo type="percentile" val="50"/>
        <cfvo type="max"/>
        <color rgb="FF63BE7B"/>
        <color rgb="FFFFEB84"/>
        <color rgb="FFF8696B"/>
      </colorScale>
    </cfRule>
  </conditionalFormatting>
  <conditionalFormatting sqref="R27:R29">
    <cfRule type="colorScale" priority="8">
      <colorScale>
        <cfvo type="min"/>
        <cfvo type="percentile" val="50"/>
        <cfvo type="max"/>
        <color rgb="FF63BE7B"/>
        <color rgb="FFFFEB84"/>
        <color rgb="FFF8696B"/>
      </colorScale>
    </cfRule>
  </conditionalFormatting>
  <conditionalFormatting sqref="S27:S29">
    <cfRule type="colorScale" priority="9">
      <colorScale>
        <cfvo type="min"/>
        <cfvo type="percentile" val="50"/>
        <cfvo type="max"/>
        <color rgb="FF63BE7B"/>
        <color rgb="FFFFEB84"/>
        <color rgb="FFF8696B"/>
      </colorScale>
    </cfRule>
  </conditionalFormatting>
  <conditionalFormatting sqref="L29:U29 L27:T28">
    <cfRule type="colorScale" priority="10">
      <colorScale>
        <cfvo type="min"/>
        <cfvo type="percentile" val="50"/>
        <cfvo type="max"/>
        <color rgb="FF63BE7B"/>
        <color rgb="FFFFEB84"/>
        <color rgb="FFF8696B"/>
      </colorScale>
    </cfRule>
  </conditionalFormatting>
  <conditionalFormatting sqref="J29:U29 J27:T28">
    <cfRule type="colorScale" priority="11">
      <colorScale>
        <cfvo type="min"/>
        <cfvo type="percentile" val="50"/>
        <cfvo type="max"/>
        <color rgb="FF63BE7B"/>
        <color rgb="FFFFEB84"/>
        <color rgb="FFF8696B"/>
      </colorScale>
    </cfRule>
  </conditionalFormatting>
  <conditionalFormatting sqref="L26:S26 L4:S24">
    <cfRule type="colorScale" priority="769">
      <colorScale>
        <cfvo type="min"/>
        <cfvo type="percentile" val="50"/>
        <cfvo type="max"/>
        <color rgb="FF63BE7B"/>
        <color rgb="FFFFEB84"/>
        <color rgb="FFF8696B"/>
      </colorScale>
    </cfRule>
  </conditionalFormatting>
  <conditionalFormatting sqref="R4:R24 R26">
    <cfRule type="colorScale" priority="771">
      <colorScale>
        <cfvo type="min"/>
        <cfvo type="percentile" val="50"/>
        <cfvo type="max"/>
        <color rgb="FF63BE7B"/>
        <color rgb="FFFFEB84"/>
        <color rgb="FFF8696B"/>
      </colorScale>
    </cfRule>
  </conditionalFormatting>
  <conditionalFormatting sqref="S4:S24 S26">
    <cfRule type="colorScale" priority="773">
      <colorScale>
        <cfvo type="min"/>
        <cfvo type="percentile" val="50"/>
        <cfvo type="max"/>
        <color rgb="FF63BE7B"/>
        <color rgb="FFFFEB84"/>
        <color rgb="FFF8696B"/>
      </colorScale>
    </cfRule>
  </conditionalFormatting>
  <conditionalFormatting sqref="L26:T26 L4:U8 L9:T24 U4:U30">
    <cfRule type="colorScale" priority="775">
      <colorScale>
        <cfvo type="min"/>
        <cfvo type="percentile" val="50"/>
        <cfvo type="max"/>
        <color rgb="FF63BE7B"/>
        <color rgb="FFFFEB84"/>
        <color rgb="FFF8696B"/>
      </colorScale>
    </cfRule>
  </conditionalFormatting>
  <conditionalFormatting sqref="J26:T26 J4:U8 J9:T24 U4:U30">
    <cfRule type="colorScale" priority="777">
      <colorScale>
        <cfvo type="min"/>
        <cfvo type="percentile" val="50"/>
        <cfvo type="max"/>
        <color rgb="FF63BE7B"/>
        <color rgb="FFFFEB84"/>
        <color rgb="FFF8696B"/>
      </colorScale>
    </cfRule>
  </conditionalFormatting>
  <conditionalFormatting sqref="L25:S25">
    <cfRule type="colorScale" priority="2">
      <colorScale>
        <cfvo type="min"/>
        <cfvo type="percentile" val="50"/>
        <cfvo type="max"/>
        <color rgb="FF63BE7B"/>
        <color rgb="FFFFEB84"/>
        <color rgb="FFF8696B"/>
      </colorScale>
    </cfRule>
  </conditionalFormatting>
  <conditionalFormatting sqref="R25">
    <cfRule type="colorScale" priority="3">
      <colorScale>
        <cfvo type="min"/>
        <cfvo type="percentile" val="50"/>
        <cfvo type="max"/>
        <color rgb="FF63BE7B"/>
        <color rgb="FFFFEB84"/>
        <color rgb="FFF8696B"/>
      </colorScale>
    </cfRule>
  </conditionalFormatting>
  <conditionalFormatting sqref="S25">
    <cfRule type="colorScale" priority="4">
      <colorScale>
        <cfvo type="min"/>
        <cfvo type="percentile" val="50"/>
        <cfvo type="max"/>
        <color rgb="FF63BE7B"/>
        <color rgb="FFFFEB84"/>
        <color rgb="FFF8696B"/>
      </colorScale>
    </cfRule>
  </conditionalFormatting>
  <conditionalFormatting sqref="L25:T25">
    <cfRule type="colorScale" priority="5">
      <colorScale>
        <cfvo type="min"/>
        <cfvo type="percentile" val="50"/>
        <cfvo type="max"/>
        <color rgb="FF63BE7B"/>
        <color rgb="FFFFEB84"/>
        <color rgb="FFF8696B"/>
      </colorScale>
    </cfRule>
  </conditionalFormatting>
  <conditionalFormatting sqref="J25:T25">
    <cfRule type="colorScale" priority="6">
      <colorScale>
        <cfvo type="min"/>
        <cfvo type="percentile" val="50"/>
        <cfvo type="max"/>
        <color rgb="FF63BE7B"/>
        <color rgb="FFFFEB84"/>
        <color rgb="FFF8696B"/>
      </colorScale>
    </cfRule>
  </conditionalFormatting>
  <conditionalFormatting sqref="J4:T30">
    <cfRule type="colorScale" priority="788">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FF5050"/>
  </sheetPr>
  <dimension ref="B1:T100"/>
  <sheetViews>
    <sheetView showGridLines="0" zoomScale="60" zoomScaleNormal="60" workbookViewId="0"/>
  </sheetViews>
  <sheetFormatPr defaultRowHeight="15" outlineLevelCol="1" x14ac:dyDescent="0.25"/>
  <cols>
    <col min="2" max="2" width="48.28515625" customWidth="1"/>
    <col min="3" max="3" width="27" hidden="1" customWidth="1" outlineLevel="1"/>
    <col min="4" max="4" width="50" style="331" customWidth="1" collapsed="1"/>
    <col min="5" max="5" width="12.85546875" customWidth="1"/>
    <col min="6" max="6" width="11.7109375" customWidth="1"/>
    <col min="7" max="7" width="11.7109375" style="471" customWidth="1"/>
    <col min="8" max="13" width="11.7109375" customWidth="1"/>
    <col min="14" max="17" width="18.140625" hidden="1" customWidth="1" outlineLevel="1"/>
    <col min="18" max="18" width="9.140625" style="798" customWidth="1" collapsed="1"/>
    <col min="19" max="20" width="10.5703125" customWidth="1"/>
  </cols>
  <sheetData>
    <row r="1" spans="2:20" s="48" customFormat="1" ht="15.75" thickBot="1" x14ac:dyDescent="0.3">
      <c r="B1" s="519" t="s">
        <v>753</v>
      </c>
      <c r="C1" s="518"/>
      <c r="D1" s="757"/>
      <c r="E1" s="518"/>
      <c r="G1" s="471"/>
      <c r="K1" s="520" t="s">
        <v>751</v>
      </c>
      <c r="L1" s="520" t="s">
        <v>752</v>
      </c>
      <c r="M1" s="518"/>
      <c r="R1" s="799"/>
    </row>
    <row r="2" spans="2:20" ht="27" customHeight="1" thickTop="1" x14ac:dyDescent="0.25">
      <c r="B2" s="925" t="s">
        <v>740</v>
      </c>
      <c r="C2" s="925" t="s">
        <v>748</v>
      </c>
      <c r="D2" s="927" t="s">
        <v>741</v>
      </c>
      <c r="E2" s="924" t="s">
        <v>744</v>
      </c>
      <c r="F2" s="802" t="s">
        <v>749</v>
      </c>
      <c r="G2" s="803"/>
      <c r="H2" s="803"/>
      <c r="I2" s="804"/>
      <c r="J2" s="805" t="s">
        <v>750</v>
      </c>
      <c r="K2" s="953"/>
      <c r="L2" s="953"/>
      <c r="M2" s="954"/>
      <c r="N2" s="921" t="s">
        <v>756</v>
      </c>
      <c r="O2" s="922"/>
      <c r="P2" s="922"/>
      <c r="Q2" s="922"/>
      <c r="R2" s="917" t="s">
        <v>861</v>
      </c>
      <c r="S2" s="919" t="s">
        <v>863</v>
      </c>
      <c r="T2" s="915" t="s">
        <v>864</v>
      </c>
    </row>
    <row r="3" spans="2:20" ht="57.75" customHeight="1" thickBot="1" x14ac:dyDescent="0.3">
      <c r="B3" s="926"/>
      <c r="C3" s="925"/>
      <c r="D3" s="927"/>
      <c r="E3" s="924"/>
      <c r="F3" s="524" t="s">
        <v>742</v>
      </c>
      <c r="G3" s="643" t="s">
        <v>19</v>
      </c>
      <c r="H3" s="525" t="s">
        <v>18</v>
      </c>
      <c r="I3" s="526" t="s">
        <v>743</v>
      </c>
      <c r="J3" s="527" t="s">
        <v>742</v>
      </c>
      <c r="K3" s="527" t="s">
        <v>19</v>
      </c>
      <c r="L3" s="527" t="s">
        <v>18</v>
      </c>
      <c r="M3" s="528" t="s">
        <v>743</v>
      </c>
      <c r="N3" s="515" t="s">
        <v>742</v>
      </c>
      <c r="O3" s="515" t="s">
        <v>19</v>
      </c>
      <c r="P3" s="515" t="s">
        <v>18</v>
      </c>
      <c r="Q3" s="515" t="s">
        <v>743</v>
      </c>
      <c r="R3" s="918"/>
      <c r="S3" s="920"/>
      <c r="T3" s="916"/>
    </row>
    <row r="4" spans="2:20" ht="19.5" customHeight="1" thickBot="1" x14ac:dyDescent="0.3">
      <c r="B4" s="923" t="str">
        <f>OUT_FinCase_Summary!B46</f>
        <v xml:space="preserve">CAZ Enforcement System and Infrastructure works </v>
      </c>
      <c r="C4" s="529">
        <v>1</v>
      </c>
      <c r="D4" s="758" t="s">
        <v>53</v>
      </c>
      <c r="E4" s="530" t="s">
        <v>37</v>
      </c>
      <c r="F4" s="644">
        <f>VLOOKUP($C4,CALC_Funding!$I$6:$J$146,2,FALSE)/1000</f>
        <v>2160</v>
      </c>
      <c r="G4" s="644">
        <f>VLOOKUP($C4,CALC_Funding!$AH$6:$AP$146,4,FALSE)/1000</f>
        <v>2160</v>
      </c>
      <c r="H4" s="532"/>
      <c r="I4" s="533">
        <f>F4-SUM(G4:H4)</f>
        <v>0</v>
      </c>
      <c r="J4" s="531">
        <v>2160</v>
      </c>
      <c r="K4" s="532">
        <v>2160</v>
      </c>
      <c r="L4" s="532"/>
      <c r="M4" s="533">
        <v>0</v>
      </c>
      <c r="N4" t="str">
        <f t="shared" ref="N4:O68" si="0">IF(F4=J4,"",1)</f>
        <v/>
      </c>
      <c r="O4" t="str">
        <f t="shared" si="0"/>
        <v/>
      </c>
      <c r="P4" t="str">
        <f t="shared" ref="P4:P68" si="1">IF(H4=L4,"",1)</f>
        <v/>
      </c>
      <c r="Q4" t="str">
        <f t="shared" ref="Q4:Q68" si="2">IF(I4=M4,"",1)</f>
        <v/>
      </c>
      <c r="R4" s="808"/>
    </row>
    <row r="5" spans="2:20" ht="19.5" thickBot="1" x14ac:dyDescent="0.3">
      <c r="B5" s="910"/>
      <c r="C5" s="529">
        <v>4</v>
      </c>
      <c r="D5" s="758" t="s">
        <v>1</v>
      </c>
      <c r="E5" s="530" t="s">
        <v>37</v>
      </c>
      <c r="F5" s="644">
        <f>VLOOKUP($C5,CALC_Funding!$I$6:$J$146,2,FALSE)/1000</f>
        <v>408</v>
      </c>
      <c r="G5" s="644">
        <f>VLOOKUP($C5,CALC_Funding!$AH$6:$AP$146,4,FALSE)/1000</f>
        <v>408</v>
      </c>
      <c r="H5" s="532"/>
      <c r="I5" s="533">
        <f t="shared" ref="I5:I8" si="3">F5-SUM(G5:H5)</f>
        <v>0</v>
      </c>
      <c r="J5" s="531">
        <v>408</v>
      </c>
      <c r="K5" s="532">
        <v>408</v>
      </c>
      <c r="L5" s="532"/>
      <c r="M5" s="533">
        <v>0</v>
      </c>
      <c r="N5" t="str">
        <f t="shared" ref="N5:N69" si="4">IF(F5=J5,"",1)</f>
        <v/>
      </c>
      <c r="O5" t="str">
        <f t="shared" si="0"/>
        <v/>
      </c>
      <c r="P5" t="str">
        <f t="shared" si="1"/>
        <v/>
      </c>
      <c r="Q5" t="str">
        <f t="shared" si="2"/>
        <v/>
      </c>
      <c r="R5" s="809" t="str">
        <f t="shared" ref="R5:R36" si="5">IF(N5=1,"*","")</f>
        <v/>
      </c>
      <c r="S5" s="800">
        <f t="shared" ref="S5:S36" si="6">+K5-G5</f>
        <v>0</v>
      </c>
      <c r="T5" s="801">
        <f t="shared" ref="T5:T68" si="7">+L5-H5</f>
        <v>0</v>
      </c>
    </row>
    <row r="6" spans="2:20" ht="19.5" thickBot="1" x14ac:dyDescent="0.3">
      <c r="B6" s="910"/>
      <c r="C6" s="529">
        <v>6</v>
      </c>
      <c r="D6" s="758" t="s">
        <v>58</v>
      </c>
      <c r="E6" s="530" t="s">
        <v>37</v>
      </c>
      <c r="F6" s="644">
        <f>VLOOKUP($C6,CALC_Funding!$I$6:$J$146,2,FALSE)/1000</f>
        <v>200</v>
      </c>
      <c r="G6" s="644">
        <f>VLOOKUP($C6,CALC_Funding!$AH$6:$AP$146,4,FALSE)/1000</f>
        <v>200</v>
      </c>
      <c r="H6" s="532"/>
      <c r="I6" s="533">
        <f t="shared" si="3"/>
        <v>0</v>
      </c>
      <c r="J6" s="531">
        <v>200</v>
      </c>
      <c r="K6" s="532">
        <v>200</v>
      </c>
      <c r="L6" s="532"/>
      <c r="M6" s="533">
        <v>0</v>
      </c>
      <c r="N6" t="str">
        <f t="shared" si="4"/>
        <v/>
      </c>
      <c r="O6" t="str">
        <f t="shared" si="0"/>
        <v/>
      </c>
      <c r="P6" t="str">
        <f t="shared" si="1"/>
        <v/>
      </c>
      <c r="Q6" t="str">
        <f t="shared" si="2"/>
        <v/>
      </c>
      <c r="R6" s="809" t="str">
        <f t="shared" si="5"/>
        <v/>
      </c>
      <c r="S6" s="800">
        <f t="shared" si="6"/>
        <v>0</v>
      </c>
      <c r="T6" s="801">
        <f t="shared" si="7"/>
        <v>0</v>
      </c>
    </row>
    <row r="7" spans="2:20" ht="19.5" thickBot="1" x14ac:dyDescent="0.3">
      <c r="B7" s="910"/>
      <c r="C7" s="529">
        <v>8</v>
      </c>
      <c r="D7" s="758" t="s">
        <v>261</v>
      </c>
      <c r="E7" s="530" t="s">
        <v>37</v>
      </c>
      <c r="F7" s="644">
        <f>VLOOKUP($C7,CALC_Funding!$I$6:$J$146,2,FALSE)/1000</f>
        <v>405.6</v>
      </c>
      <c r="G7" s="644">
        <f>VLOOKUP($C7,CALC_Funding!$AH$6:$AP$146,4,FALSE)/1000</f>
        <v>405.6</v>
      </c>
      <c r="H7" s="532"/>
      <c r="I7" s="533">
        <f t="shared" si="3"/>
        <v>0</v>
      </c>
      <c r="J7" s="531">
        <v>405.6</v>
      </c>
      <c r="K7" s="532">
        <v>405.6</v>
      </c>
      <c r="L7" s="532"/>
      <c r="M7" s="533">
        <v>0</v>
      </c>
      <c r="N7" t="str">
        <f t="shared" si="4"/>
        <v/>
      </c>
      <c r="O7" t="str">
        <f t="shared" si="0"/>
        <v/>
      </c>
      <c r="P7" t="str">
        <f t="shared" si="1"/>
        <v/>
      </c>
      <c r="Q7" t="str">
        <f t="shared" si="2"/>
        <v/>
      </c>
      <c r="R7" s="809" t="str">
        <f t="shared" si="5"/>
        <v/>
      </c>
      <c r="S7" s="800">
        <f t="shared" si="6"/>
        <v>0</v>
      </c>
      <c r="T7" s="801">
        <f t="shared" si="7"/>
        <v>0</v>
      </c>
    </row>
    <row r="8" spans="2:20" ht="19.5" thickBot="1" x14ac:dyDescent="0.3">
      <c r="B8" s="910"/>
      <c r="C8" s="534">
        <v>139</v>
      </c>
      <c r="D8" s="759" t="s">
        <v>528</v>
      </c>
      <c r="E8" s="535" t="s">
        <v>37</v>
      </c>
      <c r="F8" s="642">
        <f>VLOOKUP($C8,CALC_Funding!$I$6:$J$146,2,FALSE)/1000</f>
        <v>-405.6</v>
      </c>
      <c r="G8" s="642">
        <f>VLOOKUP($C8,CALC_Funding!$AH$6:$AP$146,4,FALSE)/1000</f>
        <v>-405.6</v>
      </c>
      <c r="H8" s="536"/>
      <c r="I8" s="533">
        <f t="shared" si="3"/>
        <v>0</v>
      </c>
      <c r="J8" s="779">
        <v>-405.6</v>
      </c>
      <c r="K8" s="780">
        <v>-405.6</v>
      </c>
      <c r="L8" s="536"/>
      <c r="M8" s="537">
        <v>0</v>
      </c>
      <c r="N8" t="str">
        <f t="shared" si="4"/>
        <v/>
      </c>
      <c r="O8" t="str">
        <f t="shared" si="0"/>
        <v/>
      </c>
      <c r="P8" t="str">
        <f t="shared" si="1"/>
        <v/>
      </c>
      <c r="Q8" t="str">
        <f t="shared" si="2"/>
        <v/>
      </c>
      <c r="R8" s="809" t="str">
        <f t="shared" si="5"/>
        <v/>
      </c>
      <c r="S8" s="800">
        <f t="shared" si="6"/>
        <v>0</v>
      </c>
      <c r="T8" s="801">
        <f t="shared" si="7"/>
        <v>0</v>
      </c>
    </row>
    <row r="9" spans="2:20" ht="19.5" thickBot="1" x14ac:dyDescent="0.3">
      <c r="B9" s="911"/>
      <c r="C9" s="538"/>
      <c r="D9" s="538"/>
      <c r="E9" s="539"/>
      <c r="F9" s="645">
        <f>SUM(F4:F8)</f>
        <v>2768</v>
      </c>
      <c r="G9" s="645">
        <f t="shared" ref="G9:M9" si="8">SUM(G4:G8)</f>
        <v>2768</v>
      </c>
      <c r="H9" s="541">
        <f t="shared" si="8"/>
        <v>0</v>
      </c>
      <c r="I9" s="542">
        <f t="shared" si="8"/>
        <v>0</v>
      </c>
      <c r="J9" s="540">
        <v>2768</v>
      </c>
      <c r="K9" s="540">
        <v>2768</v>
      </c>
      <c r="L9" s="540">
        <v>0</v>
      </c>
      <c r="M9" s="540">
        <v>0</v>
      </c>
      <c r="N9" t="str">
        <f t="shared" si="4"/>
        <v/>
      </c>
      <c r="O9" t="str">
        <f t="shared" si="0"/>
        <v/>
      </c>
      <c r="P9" t="str">
        <f t="shared" si="1"/>
        <v/>
      </c>
      <c r="Q9" t="str">
        <f t="shared" si="2"/>
        <v/>
      </c>
      <c r="R9" s="809" t="str">
        <f t="shared" si="5"/>
        <v/>
      </c>
      <c r="S9" s="800">
        <f t="shared" si="6"/>
        <v>0</v>
      </c>
      <c r="T9" s="801">
        <f t="shared" si="7"/>
        <v>0</v>
      </c>
    </row>
    <row r="10" spans="2:20" ht="19.5" thickBot="1" x14ac:dyDescent="0.3">
      <c r="B10" s="909" t="str">
        <f>OUT_FinCase_Summary!B47</f>
        <v xml:space="preserve">Measures: non-compliant vehicles support packages </v>
      </c>
      <c r="C10" s="529">
        <v>23</v>
      </c>
      <c r="D10" s="758" t="s">
        <v>150</v>
      </c>
      <c r="E10" s="530" t="s">
        <v>37</v>
      </c>
      <c r="F10" s="644">
        <f>VLOOKUP($C10,CALC_Funding!$I$6:$J$146,2,FALSE)/1000</f>
        <v>485</v>
      </c>
      <c r="G10" s="644"/>
      <c r="H10" s="532"/>
      <c r="I10" s="533">
        <f t="shared" ref="I10:I20" si="9">F10-SUM(G10:H10)</f>
        <v>485</v>
      </c>
      <c r="J10" s="532">
        <v>485</v>
      </c>
      <c r="K10" s="532"/>
      <c r="L10" s="532"/>
      <c r="M10" s="533">
        <v>485</v>
      </c>
      <c r="N10" t="str">
        <f t="shared" si="4"/>
        <v/>
      </c>
      <c r="O10" t="str">
        <f t="shared" si="0"/>
        <v/>
      </c>
      <c r="P10" t="str">
        <f t="shared" si="1"/>
        <v/>
      </c>
      <c r="Q10" t="str">
        <f t="shared" si="2"/>
        <v/>
      </c>
      <c r="R10" s="809" t="str">
        <f t="shared" si="5"/>
        <v/>
      </c>
      <c r="S10" s="800">
        <f t="shared" si="6"/>
        <v>0</v>
      </c>
      <c r="T10" s="801">
        <f t="shared" si="7"/>
        <v>0</v>
      </c>
    </row>
    <row r="11" spans="2:20" ht="19.5" thickBot="1" x14ac:dyDescent="0.3">
      <c r="B11" s="910"/>
      <c r="C11" s="529">
        <v>26</v>
      </c>
      <c r="D11" s="758" t="s">
        <v>5</v>
      </c>
      <c r="E11" s="530" t="s">
        <v>37</v>
      </c>
      <c r="F11" s="644">
        <f>VLOOKUP($C11,CALC_Funding!$I$6:$J$146,2,FALSE)/1000</f>
        <v>1400</v>
      </c>
      <c r="G11" s="644">
        <f>VLOOKUP($C11,CALC_Funding!$AH$6:$AP$146,4,FALSE)/1000</f>
        <v>1400</v>
      </c>
      <c r="H11" s="532"/>
      <c r="I11" s="533">
        <f t="shared" si="9"/>
        <v>0</v>
      </c>
      <c r="J11" s="532">
        <v>1400</v>
      </c>
      <c r="K11" s="532">
        <v>1400</v>
      </c>
      <c r="L11" s="532"/>
      <c r="M11" s="533">
        <v>0</v>
      </c>
      <c r="N11" t="str">
        <f t="shared" si="4"/>
        <v/>
      </c>
      <c r="O11" t="str">
        <f t="shared" si="0"/>
        <v/>
      </c>
      <c r="P11" t="str">
        <f t="shared" si="1"/>
        <v/>
      </c>
      <c r="Q11" t="str">
        <f t="shared" si="2"/>
        <v/>
      </c>
      <c r="R11" s="809" t="str">
        <f t="shared" si="5"/>
        <v/>
      </c>
      <c r="S11" s="800">
        <f t="shared" si="6"/>
        <v>0</v>
      </c>
      <c r="T11" s="801">
        <f t="shared" si="7"/>
        <v>0</v>
      </c>
    </row>
    <row r="12" spans="2:20" ht="19.5" thickBot="1" x14ac:dyDescent="0.3">
      <c r="B12" s="910"/>
      <c r="C12" s="529">
        <v>36</v>
      </c>
      <c r="D12" s="758" t="s">
        <v>228</v>
      </c>
      <c r="E12" s="530" t="s">
        <v>37</v>
      </c>
      <c r="F12" s="644">
        <f>VLOOKUP($C12,CALC_Funding!$I$6:$J$146,2,FALSE)/1000</f>
        <v>1715</v>
      </c>
      <c r="G12" s="644">
        <f>VLOOKUP($C12,CALC_Funding!$AH$6:$AP$146,4,FALSE)/1000</f>
        <v>0</v>
      </c>
      <c r="H12" s="532">
        <f>VLOOKUP($C12,CALC_Funding!$AH$6:$AP$146,5,FALSE)/1000</f>
        <v>1715</v>
      </c>
      <c r="I12" s="533">
        <f t="shared" si="9"/>
        <v>0</v>
      </c>
      <c r="J12" s="532">
        <v>1607.5</v>
      </c>
      <c r="K12" s="532">
        <v>0</v>
      </c>
      <c r="L12" s="532">
        <v>1607.5</v>
      </c>
      <c r="M12" s="533">
        <v>0</v>
      </c>
      <c r="N12">
        <f>IF(F12=J12,"",1)</f>
        <v>1</v>
      </c>
      <c r="O12" t="str">
        <f t="shared" si="0"/>
        <v/>
      </c>
      <c r="P12">
        <f t="shared" si="1"/>
        <v>1</v>
      </c>
      <c r="Q12" t="str">
        <f t="shared" si="2"/>
        <v/>
      </c>
      <c r="R12" s="809" t="str">
        <f>IF(N12=1,"*","")</f>
        <v>*</v>
      </c>
      <c r="S12" s="800">
        <f>+K12-G12</f>
        <v>0</v>
      </c>
      <c r="T12" s="801">
        <f t="shared" ref="T12" si="10">+L12-H12</f>
        <v>-107.5</v>
      </c>
    </row>
    <row r="13" spans="2:20" ht="19.5" thickBot="1" x14ac:dyDescent="0.3">
      <c r="B13" s="910"/>
      <c r="C13" s="529">
        <v>37</v>
      </c>
      <c r="D13" s="758" t="s">
        <v>228</v>
      </c>
      <c r="E13" s="530" t="s">
        <v>38</v>
      </c>
      <c r="F13" s="644">
        <f>VLOOKUP($C13,CALC_Funding!$I$6:$J$146,2,FALSE)/1000</f>
        <v>116.5</v>
      </c>
      <c r="G13" s="644">
        <f>VLOOKUP($C13,CALC_Funding!$AH$6:$AP$146,4,FALSE)/1000</f>
        <v>0</v>
      </c>
      <c r="H13" s="532">
        <f>VLOOKUP($C13,CALC_Funding!$AH$6:$AP$146,5,FALSE)/1000</f>
        <v>116.5</v>
      </c>
      <c r="I13" s="533">
        <f t="shared" si="9"/>
        <v>0</v>
      </c>
      <c r="J13" s="532">
        <v>38.75</v>
      </c>
      <c r="K13" s="532">
        <v>0</v>
      </c>
      <c r="L13" s="532">
        <v>38.75</v>
      </c>
      <c r="M13" s="533">
        <v>0</v>
      </c>
      <c r="N13">
        <f t="shared" si="4"/>
        <v>1</v>
      </c>
      <c r="O13" t="str">
        <f t="shared" si="0"/>
        <v/>
      </c>
      <c r="P13">
        <f t="shared" si="1"/>
        <v>1</v>
      </c>
      <c r="Q13" t="str">
        <f t="shared" si="2"/>
        <v/>
      </c>
      <c r="R13" s="809" t="str">
        <f t="shared" ref="R13:R76" si="11">IF(N13=1,"*","")</f>
        <v>*</v>
      </c>
      <c r="S13" s="800">
        <f t="shared" ref="S13:S76" si="12">+K13-G13</f>
        <v>0</v>
      </c>
      <c r="T13" s="801">
        <f t="shared" ref="T13:T76" si="13">+L13-H13</f>
        <v>-77.75</v>
      </c>
    </row>
    <row r="14" spans="2:20" ht="19.5" thickBot="1" x14ac:dyDescent="0.3">
      <c r="B14" s="910"/>
      <c r="C14" s="529">
        <v>38</v>
      </c>
      <c r="D14" s="758" t="s">
        <v>40</v>
      </c>
      <c r="E14" s="530" t="s">
        <v>38</v>
      </c>
      <c r="F14" s="644">
        <f>VLOOKUP($C14,CALC_Funding!$I$6:$J$146,2,FALSE)/1000</f>
        <v>50</v>
      </c>
      <c r="G14" s="644">
        <f>VLOOKUP($C14,CALC_Funding!$AH$6:$AP$146,4,FALSE)/1000</f>
        <v>50</v>
      </c>
      <c r="H14" s="532"/>
      <c r="I14" s="533">
        <f t="shared" si="9"/>
        <v>0</v>
      </c>
      <c r="J14" s="532">
        <v>50</v>
      </c>
      <c r="K14" s="532">
        <v>50</v>
      </c>
      <c r="L14" s="532"/>
      <c r="M14" s="533">
        <v>0</v>
      </c>
      <c r="N14" t="str">
        <f t="shared" si="4"/>
        <v/>
      </c>
      <c r="O14" t="str">
        <f t="shared" si="0"/>
        <v/>
      </c>
      <c r="P14" t="str">
        <f t="shared" si="1"/>
        <v/>
      </c>
      <c r="Q14" t="str">
        <f t="shared" si="2"/>
        <v/>
      </c>
      <c r="R14" s="809" t="str">
        <f t="shared" si="11"/>
        <v/>
      </c>
      <c r="S14" s="800">
        <f t="shared" si="12"/>
        <v>0</v>
      </c>
      <c r="T14" s="801">
        <f t="shared" si="13"/>
        <v>0</v>
      </c>
    </row>
    <row r="15" spans="2:20" ht="19.5" thickBot="1" x14ac:dyDescent="0.3">
      <c r="B15" s="910"/>
      <c r="C15" s="529">
        <v>42.1</v>
      </c>
      <c r="D15" s="758" t="s">
        <v>887</v>
      </c>
      <c r="E15" s="530" t="s">
        <v>37</v>
      </c>
      <c r="F15" s="644">
        <f>VLOOKUP($C15,CALC_Funding!$I$6:$J$146,2,FALSE)/1000</f>
        <v>3000</v>
      </c>
      <c r="G15" s="644">
        <f>VLOOKUP($C15,CALC_Funding!$AH$6:$AP$146,4,FALSE)/1000</f>
        <v>0</v>
      </c>
      <c r="H15" s="532"/>
      <c r="I15" s="533">
        <f t="shared" si="9"/>
        <v>3000</v>
      </c>
      <c r="J15" s="532">
        <v>3000</v>
      </c>
      <c r="K15" s="532">
        <v>0</v>
      </c>
      <c r="L15" s="532"/>
      <c r="M15" s="533">
        <v>3000</v>
      </c>
      <c r="N15" t="str">
        <f t="shared" si="4"/>
        <v/>
      </c>
      <c r="O15" t="str">
        <f t="shared" si="0"/>
        <v/>
      </c>
      <c r="P15" t="str">
        <f t="shared" si="1"/>
        <v/>
      </c>
      <c r="Q15" t="str">
        <f t="shared" si="2"/>
        <v/>
      </c>
      <c r="R15" s="809" t="str">
        <f t="shared" si="11"/>
        <v/>
      </c>
      <c r="S15" s="800">
        <f t="shared" si="12"/>
        <v>0</v>
      </c>
      <c r="T15" s="801">
        <f t="shared" si="13"/>
        <v>0</v>
      </c>
    </row>
    <row r="16" spans="2:20" ht="19.5" thickBot="1" x14ac:dyDescent="0.3">
      <c r="B16" s="910"/>
      <c r="C16" s="529">
        <v>42.2</v>
      </c>
      <c r="D16" s="758" t="s">
        <v>888</v>
      </c>
      <c r="E16" s="530" t="s">
        <v>37</v>
      </c>
      <c r="F16" s="644">
        <f>VLOOKUP($C16,CALC_Funding!$I$6:$J$146,2,FALSE)/1000</f>
        <v>816</v>
      </c>
      <c r="G16" s="644">
        <f>VLOOKUP($C16,CALC_Funding!$AH$6:$AP$146,4,FALSE)/1000</f>
        <v>816</v>
      </c>
      <c r="H16" s="532"/>
      <c r="I16" s="533">
        <f t="shared" ref="I16" si="14">F16-SUM(G16:H16)</f>
        <v>0</v>
      </c>
      <c r="J16" s="532">
        <v>816</v>
      </c>
      <c r="K16" s="532">
        <v>816</v>
      </c>
      <c r="L16" s="532"/>
      <c r="M16" s="533">
        <v>0</v>
      </c>
      <c r="R16" s="809" t="str">
        <f t="shared" si="11"/>
        <v/>
      </c>
      <c r="S16" s="800">
        <f t="shared" si="12"/>
        <v>0</v>
      </c>
      <c r="T16" s="801">
        <f t="shared" si="13"/>
        <v>0</v>
      </c>
    </row>
    <row r="17" spans="2:20" ht="19.5" thickBot="1" x14ac:dyDescent="0.3">
      <c r="B17" s="910"/>
      <c r="C17" s="529">
        <v>43</v>
      </c>
      <c r="D17" s="758" t="s">
        <v>888</v>
      </c>
      <c r="E17" s="530" t="s">
        <v>38</v>
      </c>
      <c r="F17" s="644">
        <f>VLOOKUP($C17,CALC_Funding!$I$6:$J$146,2,FALSE)/1000</f>
        <v>918</v>
      </c>
      <c r="G17" s="644">
        <f>VLOOKUP($C17,CALC_Funding!$AH$6:$AP$146,4,FALSE)/1000</f>
        <v>918</v>
      </c>
      <c r="H17" s="532"/>
      <c r="I17" s="533">
        <f t="shared" si="9"/>
        <v>0</v>
      </c>
      <c r="J17" s="532">
        <v>918</v>
      </c>
      <c r="K17" s="532">
        <v>918</v>
      </c>
      <c r="L17" s="532"/>
      <c r="M17" s="533">
        <v>0</v>
      </c>
      <c r="N17" t="str">
        <f t="shared" si="4"/>
        <v/>
      </c>
      <c r="O17" t="str">
        <f t="shared" si="0"/>
        <v/>
      </c>
      <c r="P17" t="str">
        <f t="shared" si="1"/>
        <v/>
      </c>
      <c r="Q17" t="str">
        <f t="shared" si="2"/>
        <v/>
      </c>
      <c r="R17" s="809" t="str">
        <f t="shared" si="11"/>
        <v/>
      </c>
      <c r="S17" s="800">
        <f t="shared" si="12"/>
        <v>0</v>
      </c>
      <c r="T17" s="801">
        <f t="shared" si="13"/>
        <v>0</v>
      </c>
    </row>
    <row r="18" spans="2:20" ht="19.5" thickBot="1" x14ac:dyDescent="0.3">
      <c r="B18" s="910"/>
      <c r="C18" s="529">
        <v>44</v>
      </c>
      <c r="D18" s="758" t="s">
        <v>276</v>
      </c>
      <c r="E18" s="530" t="s">
        <v>37</v>
      </c>
      <c r="F18" s="771">
        <f>VLOOKUP($C18,CALC_Funding!$I$6:$J$146,2,FALSE)/1000</f>
        <v>0</v>
      </c>
      <c r="G18" s="644">
        <f>VLOOKUP($C18,CALC_Funding!$AH$6:$AP$146,4,FALSE)/1000</f>
        <v>0</v>
      </c>
      <c r="H18" s="532"/>
      <c r="I18" s="533">
        <f t="shared" si="9"/>
        <v>0</v>
      </c>
      <c r="J18" s="532">
        <v>0</v>
      </c>
      <c r="K18" s="532">
        <v>0</v>
      </c>
      <c r="L18" s="532"/>
      <c r="M18" s="533">
        <v>0</v>
      </c>
      <c r="N18" t="str">
        <f t="shared" si="4"/>
        <v/>
      </c>
      <c r="O18" t="str">
        <f t="shared" si="0"/>
        <v/>
      </c>
      <c r="P18" t="str">
        <f t="shared" si="1"/>
        <v/>
      </c>
      <c r="Q18" t="str">
        <f t="shared" si="2"/>
        <v/>
      </c>
      <c r="R18" s="809" t="str">
        <f t="shared" si="11"/>
        <v/>
      </c>
      <c r="S18" s="800">
        <f t="shared" si="12"/>
        <v>0</v>
      </c>
      <c r="T18" s="801">
        <f t="shared" si="13"/>
        <v>0</v>
      </c>
    </row>
    <row r="19" spans="2:20" ht="19.5" thickBot="1" x14ac:dyDescent="0.3">
      <c r="B19" s="910"/>
      <c r="C19" s="529">
        <v>45</v>
      </c>
      <c r="D19" s="758" t="s">
        <v>283</v>
      </c>
      <c r="E19" s="530" t="s">
        <v>37</v>
      </c>
      <c r="F19" s="771">
        <f>VLOOKUP($C19,CALC_Funding!$I$6:$J$146,2,FALSE)/1000</f>
        <v>558</v>
      </c>
      <c r="G19" s="644">
        <f>VLOOKUP($C19,CALC_Funding!$AH$6:$AP$146,4,FALSE)/1000</f>
        <v>558</v>
      </c>
      <c r="H19" s="532">
        <f>VLOOKUP($C19,CALC_Funding!$AH$6:$AP$146,5,FALSE)/1000</f>
        <v>0</v>
      </c>
      <c r="I19" s="533">
        <f t="shared" si="9"/>
        <v>0</v>
      </c>
      <c r="J19" s="532">
        <v>558</v>
      </c>
      <c r="K19" s="532">
        <v>558</v>
      </c>
      <c r="L19" s="532">
        <v>0</v>
      </c>
      <c r="M19" s="533">
        <v>0</v>
      </c>
      <c r="N19" t="str">
        <f t="shared" si="4"/>
        <v/>
      </c>
      <c r="O19" t="str">
        <f t="shared" si="0"/>
        <v/>
      </c>
      <c r="P19" t="str">
        <f t="shared" si="1"/>
        <v/>
      </c>
      <c r="Q19" t="str">
        <f t="shared" si="2"/>
        <v/>
      </c>
      <c r="R19" s="809" t="str">
        <f t="shared" si="11"/>
        <v/>
      </c>
      <c r="S19" s="800">
        <f t="shared" si="12"/>
        <v>0</v>
      </c>
      <c r="T19" s="801">
        <f t="shared" si="13"/>
        <v>0</v>
      </c>
    </row>
    <row r="20" spans="2:20" ht="19.5" thickBot="1" x14ac:dyDescent="0.3">
      <c r="B20" s="910"/>
      <c r="C20" s="529">
        <v>57</v>
      </c>
      <c r="D20" s="758" t="s">
        <v>484</v>
      </c>
      <c r="E20" s="530" t="s">
        <v>37</v>
      </c>
      <c r="F20" s="644">
        <f>VLOOKUP($C20,CALC_Funding!$I$6:$J$146,2,FALSE)/1000</f>
        <v>2050</v>
      </c>
      <c r="G20" s="772">
        <f>VLOOKUP($C20,CALC_Funding!$AH$6:$AP$146,4,FALSE)/1000</f>
        <v>0</v>
      </c>
      <c r="H20" s="773">
        <f>VLOOKUP($C20,CALC_Funding!$AH$6:$AP$146,5,FALSE)/1000</f>
        <v>2050</v>
      </c>
      <c r="I20" s="533">
        <f t="shared" si="9"/>
        <v>0</v>
      </c>
      <c r="J20" s="532">
        <v>0</v>
      </c>
      <c r="K20" s="532">
        <v>0</v>
      </c>
      <c r="L20" s="532">
        <v>0</v>
      </c>
      <c r="M20" s="533">
        <v>0</v>
      </c>
      <c r="N20">
        <f t="shared" si="4"/>
        <v>1</v>
      </c>
      <c r="O20" t="str">
        <f t="shared" si="0"/>
        <v/>
      </c>
      <c r="P20">
        <f t="shared" si="1"/>
        <v>1</v>
      </c>
      <c r="Q20" t="str">
        <f t="shared" si="2"/>
        <v/>
      </c>
      <c r="R20" s="809" t="str">
        <f t="shared" si="11"/>
        <v>*</v>
      </c>
      <c r="S20" s="800">
        <f t="shared" si="12"/>
        <v>0</v>
      </c>
      <c r="T20" s="801">
        <f t="shared" si="13"/>
        <v>-2050</v>
      </c>
    </row>
    <row r="21" spans="2:20" ht="19.5" thickBot="1" x14ac:dyDescent="0.3">
      <c r="B21" s="911"/>
      <c r="C21" s="538"/>
      <c r="D21" s="538"/>
      <c r="E21" s="539"/>
      <c r="F21" s="645">
        <f>SUM(F10:F20)</f>
        <v>11108.5</v>
      </c>
      <c r="G21" s="645">
        <f t="shared" ref="G21:M21" si="15">SUM(G10:G20)</f>
        <v>3742</v>
      </c>
      <c r="H21" s="541">
        <f t="shared" si="15"/>
        <v>3881.5</v>
      </c>
      <c r="I21" s="542">
        <f t="shared" si="15"/>
        <v>3485</v>
      </c>
      <c r="J21" s="540">
        <v>8873.25</v>
      </c>
      <c r="K21" s="540">
        <v>3742</v>
      </c>
      <c r="L21" s="540">
        <v>1646.25</v>
      </c>
      <c r="M21" s="543">
        <v>3485</v>
      </c>
      <c r="N21">
        <f t="shared" si="4"/>
        <v>1</v>
      </c>
      <c r="O21" t="str">
        <f t="shared" si="0"/>
        <v/>
      </c>
      <c r="P21">
        <f t="shared" si="1"/>
        <v>1</v>
      </c>
      <c r="Q21" t="str">
        <f t="shared" si="2"/>
        <v/>
      </c>
      <c r="R21" s="809" t="str">
        <f t="shared" si="11"/>
        <v>*</v>
      </c>
      <c r="S21" s="800">
        <f t="shared" si="12"/>
        <v>0</v>
      </c>
      <c r="T21" s="801">
        <f t="shared" si="13"/>
        <v>-2235.25</v>
      </c>
    </row>
    <row r="22" spans="2:20" ht="19.5" thickBot="1" x14ac:dyDescent="0.35">
      <c r="B22" s="909" t="str">
        <f>OUT_FinCase_Summary!B48</f>
        <v xml:space="preserve">Measures associated with Road-based Infrastructure </v>
      </c>
      <c r="C22" s="544">
        <v>66</v>
      </c>
      <c r="D22" s="760" t="s">
        <v>151</v>
      </c>
      <c r="E22" s="545" t="s">
        <v>37</v>
      </c>
      <c r="F22" s="644">
        <f>VLOOKUP($C22,CALC_Funding!$I$6:$J$146,2,FALSE)/1000</f>
        <v>159</v>
      </c>
      <c r="G22" s="774"/>
      <c r="H22" s="775">
        <f>VLOOKUP($C22,CALC_Funding!$AH$6:$AP$146,5,FALSE)/1000</f>
        <v>0</v>
      </c>
      <c r="I22" s="533">
        <f t="shared" ref="I22:I26" si="16">F22-SUM(G22:H22)</f>
        <v>159</v>
      </c>
      <c r="J22" s="546">
        <v>159</v>
      </c>
      <c r="K22" s="546"/>
      <c r="L22" s="532">
        <v>0</v>
      </c>
      <c r="M22" s="533">
        <v>159</v>
      </c>
      <c r="N22" t="str">
        <f t="shared" si="4"/>
        <v/>
      </c>
      <c r="O22" t="str">
        <f t="shared" si="0"/>
        <v/>
      </c>
      <c r="P22" t="str">
        <f t="shared" si="1"/>
        <v/>
      </c>
      <c r="Q22" t="str">
        <f t="shared" si="2"/>
        <v/>
      </c>
      <c r="R22" s="809" t="str">
        <f t="shared" si="11"/>
        <v/>
      </c>
      <c r="S22" s="800">
        <f t="shared" si="12"/>
        <v>0</v>
      </c>
      <c r="T22" s="801">
        <f t="shared" si="13"/>
        <v>0</v>
      </c>
    </row>
    <row r="23" spans="2:20" ht="19.5" thickBot="1" x14ac:dyDescent="0.3">
      <c r="B23" s="910"/>
      <c r="C23" s="544">
        <v>68</v>
      </c>
      <c r="D23" s="760" t="s">
        <v>10</v>
      </c>
      <c r="E23" s="545" t="s">
        <v>37</v>
      </c>
      <c r="F23" s="644">
        <f>VLOOKUP($C23,CALC_Funding!$I$6:$J$146,2,FALSE)/1000</f>
        <v>100</v>
      </c>
      <c r="G23" s="644">
        <f>VLOOKUP($C23,CALC_Funding!$AH$6:$AP$146,4,FALSE)/1000</f>
        <v>100</v>
      </c>
      <c r="H23" s="532"/>
      <c r="I23" s="533">
        <f t="shared" si="16"/>
        <v>0</v>
      </c>
      <c r="J23" s="532">
        <v>100</v>
      </c>
      <c r="K23" s="532">
        <v>100</v>
      </c>
      <c r="L23" s="532"/>
      <c r="M23" s="533">
        <v>0</v>
      </c>
      <c r="N23" t="str">
        <f t="shared" si="4"/>
        <v/>
      </c>
      <c r="O23" t="str">
        <f t="shared" si="0"/>
        <v/>
      </c>
      <c r="P23" t="str">
        <f t="shared" si="1"/>
        <v/>
      </c>
      <c r="Q23" t="str">
        <f t="shared" si="2"/>
        <v/>
      </c>
      <c r="R23" s="809" t="str">
        <f t="shared" si="11"/>
        <v/>
      </c>
      <c r="S23" s="800">
        <f t="shared" si="12"/>
        <v>0</v>
      </c>
      <c r="T23" s="801">
        <f t="shared" si="13"/>
        <v>0</v>
      </c>
    </row>
    <row r="24" spans="2:20" ht="19.5" thickBot="1" x14ac:dyDescent="0.3">
      <c r="B24" s="910"/>
      <c r="C24" s="544">
        <v>69</v>
      </c>
      <c r="D24" s="760" t="s">
        <v>11</v>
      </c>
      <c r="E24" s="545" t="s">
        <v>38</v>
      </c>
      <c r="F24" s="644">
        <f>VLOOKUP($C24,CALC_Funding!$I$6:$J$146,2,FALSE)/1000</f>
        <v>80</v>
      </c>
      <c r="G24" s="644">
        <f>VLOOKUP($C24,CALC_Funding!$AH$6:$AP$146,4,FALSE)/1000</f>
        <v>80</v>
      </c>
      <c r="H24" s="532"/>
      <c r="I24" s="533">
        <f t="shared" si="16"/>
        <v>0</v>
      </c>
      <c r="J24" s="532">
        <v>80</v>
      </c>
      <c r="K24" s="532">
        <v>80</v>
      </c>
      <c r="L24" s="532"/>
      <c r="M24" s="533">
        <v>0</v>
      </c>
      <c r="N24" t="str">
        <f t="shared" si="4"/>
        <v/>
      </c>
      <c r="O24" t="str">
        <f t="shared" si="0"/>
        <v/>
      </c>
      <c r="P24" t="str">
        <f t="shared" si="1"/>
        <v/>
      </c>
      <c r="Q24" t="str">
        <f t="shared" si="2"/>
        <v/>
      </c>
      <c r="R24" s="809" t="str">
        <f t="shared" si="11"/>
        <v/>
      </c>
      <c r="S24" s="800">
        <f t="shared" si="12"/>
        <v>0</v>
      </c>
      <c r="T24" s="801">
        <f t="shared" si="13"/>
        <v>0</v>
      </c>
    </row>
    <row r="25" spans="2:20" ht="19.5" thickBot="1" x14ac:dyDescent="0.3">
      <c r="B25" s="910"/>
      <c r="C25" s="544">
        <v>70</v>
      </c>
      <c r="D25" s="760" t="s">
        <v>25</v>
      </c>
      <c r="E25" s="545" t="s">
        <v>38</v>
      </c>
      <c r="F25" s="644">
        <f>VLOOKUP($C25,CALC_Funding!$I$6:$J$146,2,FALSE)/1000</f>
        <v>710</v>
      </c>
      <c r="G25" s="644">
        <f>VLOOKUP($C25,CALC_Funding!$AH$6:$AP$146,4,FALSE)/1000</f>
        <v>710</v>
      </c>
      <c r="H25" s="532"/>
      <c r="I25" s="533">
        <f t="shared" si="16"/>
        <v>0</v>
      </c>
      <c r="J25" s="532">
        <v>710</v>
      </c>
      <c r="K25" s="532">
        <v>710</v>
      </c>
      <c r="L25" s="532"/>
      <c r="M25" s="533">
        <v>0</v>
      </c>
      <c r="N25" t="str">
        <f t="shared" si="4"/>
        <v/>
      </c>
      <c r="O25" t="str">
        <f t="shared" si="0"/>
        <v/>
      </c>
      <c r="P25" t="str">
        <f t="shared" si="1"/>
        <v/>
      </c>
      <c r="Q25" t="str">
        <f t="shared" si="2"/>
        <v/>
      </c>
      <c r="R25" s="809" t="str">
        <f t="shared" si="11"/>
        <v/>
      </c>
      <c r="S25" s="800">
        <f t="shared" si="12"/>
        <v>0</v>
      </c>
      <c r="T25" s="801">
        <f t="shared" si="13"/>
        <v>0</v>
      </c>
    </row>
    <row r="26" spans="2:20" ht="19.5" thickBot="1" x14ac:dyDescent="0.3">
      <c r="B26" s="910"/>
      <c r="C26" s="544">
        <v>71</v>
      </c>
      <c r="D26" s="760" t="s">
        <v>12</v>
      </c>
      <c r="E26" s="545" t="s">
        <v>38</v>
      </c>
      <c r="F26" s="644">
        <f>VLOOKUP($C26,CALC_Funding!$I$6:$J$146,2,FALSE)/1000</f>
        <v>120</v>
      </c>
      <c r="G26" s="644">
        <f>VLOOKUP($C26,CALC_Funding!$AH$6:$AP$146,4,FALSE)/1000</f>
        <v>120</v>
      </c>
      <c r="H26" s="532"/>
      <c r="I26" s="533">
        <f t="shared" si="16"/>
        <v>0</v>
      </c>
      <c r="J26" s="532">
        <v>120</v>
      </c>
      <c r="K26" s="532">
        <v>120</v>
      </c>
      <c r="L26" s="532"/>
      <c r="M26" s="533">
        <v>0</v>
      </c>
      <c r="N26" t="str">
        <f t="shared" si="4"/>
        <v/>
      </c>
      <c r="O26" t="str">
        <f t="shared" si="0"/>
        <v/>
      </c>
      <c r="P26" t="str">
        <f t="shared" si="1"/>
        <v/>
      </c>
      <c r="Q26" t="str">
        <f t="shared" si="2"/>
        <v/>
      </c>
      <c r="R26" s="809" t="str">
        <f t="shared" si="11"/>
        <v/>
      </c>
      <c r="S26" s="800">
        <f t="shared" si="12"/>
        <v>0</v>
      </c>
      <c r="T26" s="801">
        <f t="shared" si="13"/>
        <v>0</v>
      </c>
    </row>
    <row r="27" spans="2:20" ht="19.5" thickBot="1" x14ac:dyDescent="0.3">
      <c r="B27" s="911"/>
      <c r="C27" s="538"/>
      <c r="D27" s="538"/>
      <c r="E27" s="539"/>
      <c r="F27" s="645">
        <f t="shared" ref="F27:M27" si="17">SUM(F22:F26)</f>
        <v>1169</v>
      </c>
      <c r="G27" s="645">
        <f t="shared" si="17"/>
        <v>1010</v>
      </c>
      <c r="H27" s="541">
        <f t="shared" si="17"/>
        <v>0</v>
      </c>
      <c r="I27" s="542">
        <f t="shared" si="17"/>
        <v>159</v>
      </c>
      <c r="J27" s="540">
        <v>1169</v>
      </c>
      <c r="K27" s="540">
        <v>1010</v>
      </c>
      <c r="L27" s="540">
        <v>0</v>
      </c>
      <c r="M27" s="543">
        <v>159</v>
      </c>
      <c r="N27" t="str">
        <f t="shared" si="4"/>
        <v/>
      </c>
      <c r="O27" t="str">
        <f t="shared" si="0"/>
        <v/>
      </c>
      <c r="P27" t="str">
        <f t="shared" si="1"/>
        <v/>
      </c>
      <c r="Q27" t="str">
        <f t="shared" si="2"/>
        <v/>
      </c>
      <c r="R27" s="809" t="str">
        <f t="shared" si="11"/>
        <v/>
      </c>
      <c r="S27" s="800">
        <f t="shared" si="12"/>
        <v>0</v>
      </c>
      <c r="T27" s="801">
        <f t="shared" si="13"/>
        <v>0</v>
      </c>
    </row>
    <row r="28" spans="2:20" ht="19.5" thickBot="1" x14ac:dyDescent="0.35">
      <c r="B28" s="909" t="str">
        <f>OUT_FinCase_Summary!B49</f>
        <v>Measures associated with Parking</v>
      </c>
      <c r="C28" s="547">
        <v>87</v>
      </c>
      <c r="D28" s="761" t="s">
        <v>14</v>
      </c>
      <c r="E28" s="545" t="s">
        <v>37</v>
      </c>
      <c r="F28" s="644">
        <f>VLOOKUP($C28,CALC_Funding!$I$6:$J$146,2,FALSE)/1000</f>
        <v>200</v>
      </c>
      <c r="G28" s="776">
        <f>VLOOKUP($C28,CALC_Funding!$AH$6:$AP$146,4,FALSE)/1000</f>
        <v>100</v>
      </c>
      <c r="H28" s="777">
        <f>VLOOKUP($C28,CALC_Funding!$AH$6:$AP$146,5,FALSE)/1000</f>
        <v>0</v>
      </c>
      <c r="I28" s="533">
        <f>F28-SUM(G28:H28)</f>
        <v>100</v>
      </c>
      <c r="J28" s="532">
        <v>0</v>
      </c>
      <c r="K28" s="532">
        <v>0</v>
      </c>
      <c r="L28" s="532">
        <v>0</v>
      </c>
      <c r="M28" s="533">
        <v>0</v>
      </c>
      <c r="N28">
        <f t="shared" si="4"/>
        <v>1</v>
      </c>
      <c r="O28">
        <f t="shared" si="0"/>
        <v>1</v>
      </c>
      <c r="P28" t="str">
        <f t="shared" si="1"/>
        <v/>
      </c>
      <c r="Q28">
        <f t="shared" si="2"/>
        <v>1</v>
      </c>
      <c r="R28" s="809" t="str">
        <f t="shared" si="11"/>
        <v>*</v>
      </c>
      <c r="S28" s="800">
        <f t="shared" si="12"/>
        <v>-100</v>
      </c>
      <c r="T28" s="801">
        <f t="shared" si="13"/>
        <v>0</v>
      </c>
    </row>
    <row r="29" spans="2:20" ht="19.5" thickBot="1" x14ac:dyDescent="0.3">
      <c r="B29" s="911"/>
      <c r="C29" s="538"/>
      <c r="D29" s="538"/>
      <c r="E29" s="539"/>
      <c r="F29" s="645">
        <f t="shared" ref="F29" si="18">SUM(F28)</f>
        <v>200</v>
      </c>
      <c r="G29" s="645">
        <f t="shared" ref="G29:I29" si="19">SUM(G28)</f>
        <v>100</v>
      </c>
      <c r="H29" s="541">
        <f t="shared" si="19"/>
        <v>0</v>
      </c>
      <c r="I29" s="542">
        <f t="shared" si="19"/>
        <v>100</v>
      </c>
      <c r="J29" s="540">
        <v>0</v>
      </c>
      <c r="K29" s="540">
        <v>0</v>
      </c>
      <c r="L29" s="540">
        <v>0</v>
      </c>
      <c r="M29" s="543">
        <v>0</v>
      </c>
      <c r="N29">
        <f t="shared" si="4"/>
        <v>1</v>
      </c>
      <c r="O29">
        <f t="shared" si="0"/>
        <v>1</v>
      </c>
      <c r="P29" t="str">
        <f>IF(H29=L29,"",1)</f>
        <v/>
      </c>
      <c r="Q29">
        <f t="shared" si="2"/>
        <v>1</v>
      </c>
      <c r="R29" s="809" t="str">
        <f t="shared" si="11"/>
        <v>*</v>
      </c>
      <c r="S29" s="800">
        <f t="shared" si="12"/>
        <v>-100</v>
      </c>
      <c r="T29" s="801">
        <f t="shared" si="13"/>
        <v>0</v>
      </c>
    </row>
    <row r="30" spans="2:20" ht="19.5" thickBot="1" x14ac:dyDescent="0.3">
      <c r="B30" s="909" t="str">
        <f>OUT_FinCase_Summary!B50</f>
        <v>Charging infrastructure to support ULEV</v>
      </c>
      <c r="C30" s="544">
        <v>77</v>
      </c>
      <c r="D30" s="760" t="s">
        <v>145</v>
      </c>
      <c r="E30" s="545" t="s">
        <v>37</v>
      </c>
      <c r="F30" s="644">
        <f>VLOOKUP($C30,CALC_Funding!$I$6:$J$146,2,FALSE)/1000</f>
        <v>515</v>
      </c>
      <c r="G30" s="644"/>
      <c r="H30" s="532"/>
      <c r="I30" s="533">
        <f t="shared" ref="I30:I36" si="20">F30-SUM(G30:H30)</f>
        <v>515</v>
      </c>
      <c r="J30" s="532">
        <v>515</v>
      </c>
      <c r="K30" s="532"/>
      <c r="L30" s="532"/>
      <c r="M30" s="533">
        <v>515</v>
      </c>
      <c r="N30" t="str">
        <f t="shared" si="4"/>
        <v/>
      </c>
      <c r="O30" t="str">
        <f t="shared" si="0"/>
        <v/>
      </c>
      <c r="P30" t="str">
        <f t="shared" si="1"/>
        <v/>
      </c>
      <c r="Q30" t="str">
        <f t="shared" si="2"/>
        <v/>
      </c>
      <c r="R30" s="809" t="str">
        <f t="shared" si="11"/>
        <v/>
      </c>
      <c r="S30" s="800">
        <f t="shared" si="12"/>
        <v>0</v>
      </c>
      <c r="T30" s="801">
        <f t="shared" si="13"/>
        <v>0</v>
      </c>
    </row>
    <row r="31" spans="2:20" ht="19.5" thickBot="1" x14ac:dyDescent="0.3">
      <c r="B31" s="910"/>
      <c r="C31" s="544">
        <v>78</v>
      </c>
      <c r="D31" s="760" t="s">
        <v>145</v>
      </c>
      <c r="E31" s="545" t="s">
        <v>38</v>
      </c>
      <c r="F31" s="644">
        <f>VLOOKUP($C31,CALC_Funding!$I$6:$J$146,2,FALSE)/1000</f>
        <v>645</v>
      </c>
      <c r="G31" s="644"/>
      <c r="H31" s="532"/>
      <c r="I31" s="533">
        <f t="shared" si="20"/>
        <v>645</v>
      </c>
      <c r="J31" s="532">
        <v>645</v>
      </c>
      <c r="K31" s="532"/>
      <c r="L31" s="532"/>
      <c r="M31" s="533">
        <v>645</v>
      </c>
      <c r="N31" t="str">
        <f t="shared" si="4"/>
        <v/>
      </c>
      <c r="O31" t="str">
        <f t="shared" si="0"/>
        <v/>
      </c>
      <c r="P31" t="str">
        <f t="shared" si="1"/>
        <v/>
      </c>
      <c r="Q31" t="str">
        <f t="shared" si="2"/>
        <v/>
      </c>
      <c r="R31" s="809" t="str">
        <f t="shared" si="11"/>
        <v/>
      </c>
      <c r="S31" s="800">
        <f t="shared" si="12"/>
        <v>0</v>
      </c>
      <c r="T31" s="801">
        <f t="shared" si="13"/>
        <v>0</v>
      </c>
    </row>
    <row r="32" spans="2:20" ht="19.5" thickBot="1" x14ac:dyDescent="0.3">
      <c r="B32" s="910"/>
      <c r="C32" s="544">
        <v>79</v>
      </c>
      <c r="D32" s="760" t="s">
        <v>93</v>
      </c>
      <c r="E32" s="545" t="s">
        <v>37</v>
      </c>
      <c r="F32" s="644">
        <f>VLOOKUP($C32,CALC_Funding!$I$6:$J$146,2,FALSE)/1000</f>
        <v>650</v>
      </c>
      <c r="G32" s="644"/>
      <c r="H32" s="532"/>
      <c r="I32" s="533">
        <f t="shared" si="20"/>
        <v>650</v>
      </c>
      <c r="J32" s="532">
        <v>650</v>
      </c>
      <c r="K32" s="532"/>
      <c r="L32" s="532"/>
      <c r="M32" s="533">
        <v>650</v>
      </c>
      <c r="N32" t="str">
        <f t="shared" si="4"/>
        <v/>
      </c>
      <c r="O32" t="str">
        <f t="shared" si="0"/>
        <v/>
      </c>
      <c r="P32" t="str">
        <f t="shared" si="1"/>
        <v/>
      </c>
      <c r="Q32" t="str">
        <f t="shared" si="2"/>
        <v/>
      </c>
      <c r="R32" s="809" t="str">
        <f t="shared" si="11"/>
        <v/>
      </c>
      <c r="S32" s="800">
        <f t="shared" si="12"/>
        <v>0</v>
      </c>
      <c r="T32" s="801">
        <f t="shared" si="13"/>
        <v>0</v>
      </c>
    </row>
    <row r="33" spans="2:20" ht="19.5" thickBot="1" x14ac:dyDescent="0.3">
      <c r="B33" s="910"/>
      <c r="C33" s="544">
        <v>80</v>
      </c>
      <c r="D33" s="760" t="s">
        <v>526</v>
      </c>
      <c r="E33" s="545" t="s">
        <v>37</v>
      </c>
      <c r="F33" s="644">
        <f>VLOOKUP($C33,CALC_Funding!$I$6:$J$146,2,FALSE)/1000</f>
        <v>975</v>
      </c>
      <c r="G33" s="644"/>
      <c r="H33" s="532"/>
      <c r="I33" s="533">
        <f t="shared" si="20"/>
        <v>975</v>
      </c>
      <c r="J33" s="532">
        <v>975</v>
      </c>
      <c r="K33" s="532"/>
      <c r="L33" s="532"/>
      <c r="M33" s="533">
        <v>975</v>
      </c>
      <c r="N33" t="str">
        <f t="shared" si="4"/>
        <v/>
      </c>
      <c r="O33" t="str">
        <f t="shared" si="0"/>
        <v/>
      </c>
      <c r="P33" t="str">
        <f t="shared" si="1"/>
        <v/>
      </c>
      <c r="Q33" t="str">
        <f t="shared" si="2"/>
        <v/>
      </c>
      <c r="R33" s="809" t="str">
        <f t="shared" si="11"/>
        <v/>
      </c>
      <c r="S33" s="800">
        <f t="shared" si="12"/>
        <v>0</v>
      </c>
      <c r="T33" s="801">
        <f t="shared" si="13"/>
        <v>0</v>
      </c>
    </row>
    <row r="34" spans="2:20" ht="19.5" thickBot="1" x14ac:dyDescent="0.3">
      <c r="B34" s="910"/>
      <c r="C34" s="544">
        <v>81</v>
      </c>
      <c r="D34" s="760" t="s">
        <v>146</v>
      </c>
      <c r="E34" s="545" t="s">
        <v>37</v>
      </c>
      <c r="F34" s="644">
        <f>VLOOKUP($C34,CALC_Funding!$I$6:$J$146,2,FALSE)/1000</f>
        <v>225</v>
      </c>
      <c r="G34" s="644"/>
      <c r="H34" s="532"/>
      <c r="I34" s="533">
        <f t="shared" si="20"/>
        <v>225</v>
      </c>
      <c r="J34" s="532">
        <v>225</v>
      </c>
      <c r="K34" s="532"/>
      <c r="L34" s="532"/>
      <c r="M34" s="533">
        <v>225</v>
      </c>
      <c r="N34" t="str">
        <f t="shared" si="4"/>
        <v/>
      </c>
      <c r="O34" t="str">
        <f t="shared" si="0"/>
        <v/>
      </c>
      <c r="P34" t="str">
        <f t="shared" si="1"/>
        <v/>
      </c>
      <c r="Q34" t="str">
        <f t="shared" si="2"/>
        <v/>
      </c>
      <c r="R34" s="809" t="str">
        <f t="shared" si="11"/>
        <v/>
      </c>
      <c r="S34" s="800">
        <f t="shared" si="12"/>
        <v>0</v>
      </c>
      <c r="T34" s="801">
        <f t="shared" si="13"/>
        <v>0</v>
      </c>
    </row>
    <row r="35" spans="2:20" ht="19.5" thickBot="1" x14ac:dyDescent="0.3">
      <c r="B35" s="910"/>
      <c r="C35" s="544">
        <v>82</v>
      </c>
      <c r="D35" s="760" t="s">
        <v>147</v>
      </c>
      <c r="E35" s="545" t="s">
        <v>38</v>
      </c>
      <c r="F35" s="644">
        <f>VLOOKUP($C35,CALC_Funding!$I$6:$J$146,2,FALSE)/1000</f>
        <v>150</v>
      </c>
      <c r="G35" s="644"/>
      <c r="H35" s="532"/>
      <c r="I35" s="533">
        <f t="shared" si="20"/>
        <v>150</v>
      </c>
      <c r="J35" s="532">
        <v>150</v>
      </c>
      <c r="K35" s="532"/>
      <c r="L35" s="532"/>
      <c r="M35" s="533">
        <v>150</v>
      </c>
      <c r="N35" t="str">
        <f t="shared" si="4"/>
        <v/>
      </c>
      <c r="O35" t="str">
        <f t="shared" si="0"/>
        <v/>
      </c>
      <c r="P35" t="str">
        <f t="shared" si="1"/>
        <v/>
      </c>
      <c r="Q35" t="str">
        <f t="shared" si="2"/>
        <v/>
      </c>
      <c r="R35" s="809" t="str">
        <f t="shared" si="11"/>
        <v/>
      </c>
      <c r="S35" s="800">
        <f t="shared" si="12"/>
        <v>0</v>
      </c>
      <c r="T35" s="801">
        <f t="shared" si="13"/>
        <v>0</v>
      </c>
    </row>
    <row r="36" spans="2:20" ht="19.5" thickBot="1" x14ac:dyDescent="0.3">
      <c r="B36" s="910"/>
      <c r="C36" s="544">
        <v>83</v>
      </c>
      <c r="D36" s="760" t="s">
        <v>194</v>
      </c>
      <c r="E36" s="545" t="s">
        <v>37</v>
      </c>
      <c r="F36" s="644">
        <f>VLOOKUP($C36,CALC_Funding!$I$6:$J$146,2,FALSE)/1000</f>
        <v>75</v>
      </c>
      <c r="G36" s="644"/>
      <c r="H36" s="532"/>
      <c r="I36" s="533">
        <f t="shared" si="20"/>
        <v>75</v>
      </c>
      <c r="J36" s="532">
        <v>75</v>
      </c>
      <c r="K36" s="532"/>
      <c r="L36" s="532"/>
      <c r="M36" s="533">
        <v>75</v>
      </c>
      <c r="N36" t="str">
        <f t="shared" si="4"/>
        <v/>
      </c>
      <c r="O36" t="str">
        <f t="shared" si="0"/>
        <v/>
      </c>
      <c r="P36" t="str">
        <f t="shared" si="1"/>
        <v/>
      </c>
      <c r="Q36" t="str">
        <f t="shared" si="2"/>
        <v/>
      </c>
      <c r="R36" s="809" t="str">
        <f t="shared" si="11"/>
        <v/>
      </c>
      <c r="S36" s="800">
        <f t="shared" si="12"/>
        <v>0</v>
      </c>
      <c r="T36" s="801">
        <f t="shared" si="13"/>
        <v>0</v>
      </c>
    </row>
    <row r="37" spans="2:20" ht="19.5" thickBot="1" x14ac:dyDescent="0.3">
      <c r="B37" s="911"/>
      <c r="C37" s="538"/>
      <c r="D37" s="538"/>
      <c r="E37" s="539"/>
      <c r="F37" s="645">
        <f t="shared" ref="F37:M37" si="21">SUM(F30:F36)</f>
        <v>3235</v>
      </c>
      <c r="G37" s="645">
        <f t="shared" si="21"/>
        <v>0</v>
      </c>
      <c r="H37" s="541">
        <f t="shared" si="21"/>
        <v>0</v>
      </c>
      <c r="I37" s="542">
        <f t="shared" si="21"/>
        <v>3235</v>
      </c>
      <c r="J37" s="540">
        <v>3235</v>
      </c>
      <c r="K37" s="540">
        <v>0</v>
      </c>
      <c r="L37" s="540">
        <v>0</v>
      </c>
      <c r="M37" s="543">
        <v>3235</v>
      </c>
      <c r="N37" t="str">
        <f t="shared" si="4"/>
        <v/>
      </c>
      <c r="O37" t="str">
        <f t="shared" si="0"/>
        <v/>
      </c>
      <c r="P37" t="str">
        <f t="shared" si="1"/>
        <v/>
      </c>
      <c r="Q37" t="str">
        <f t="shared" si="2"/>
        <v/>
      </c>
      <c r="R37" s="809" t="str">
        <f t="shared" si="11"/>
        <v/>
      </c>
      <c r="S37" s="800">
        <f t="shared" si="12"/>
        <v>0</v>
      </c>
      <c r="T37" s="801">
        <f t="shared" si="13"/>
        <v>0</v>
      </c>
    </row>
    <row r="38" spans="2:20" ht="19.5" thickBot="1" x14ac:dyDescent="0.3">
      <c r="B38" s="906" t="str">
        <f>OUT_FinCase_Summary!B51</f>
        <v>Costs of Communications Campaign</v>
      </c>
      <c r="C38" s="544">
        <v>90</v>
      </c>
      <c r="D38" s="760" t="s">
        <v>410</v>
      </c>
      <c r="E38" s="545" t="s">
        <v>37</v>
      </c>
      <c r="F38" s="644">
        <f>VLOOKUP($C38,CALC_Funding!$I$6:$J$146,2,FALSE)/1000</f>
        <v>40</v>
      </c>
      <c r="G38" s="778">
        <f>VLOOKUP($C38,CALC_Funding!$AH$6:$AP$146,4,FALSE)/1000</f>
        <v>0</v>
      </c>
      <c r="H38" s="775">
        <f>VLOOKUP($C38,CALC_Funding!$AH$6:$AP$146,5,FALSE)/1000</f>
        <v>0</v>
      </c>
      <c r="I38" s="533">
        <f t="shared" ref="I38:I49" si="22">F38-SUM(G38:H38)</f>
        <v>40</v>
      </c>
      <c r="J38" s="532">
        <v>40</v>
      </c>
      <c r="K38" s="532">
        <v>0</v>
      </c>
      <c r="L38" s="532">
        <v>0</v>
      </c>
      <c r="M38" s="533">
        <v>40</v>
      </c>
      <c r="N38" t="str">
        <f t="shared" si="4"/>
        <v/>
      </c>
      <c r="O38" t="str">
        <f t="shared" si="0"/>
        <v/>
      </c>
      <c r="P38" t="str">
        <f t="shared" si="1"/>
        <v/>
      </c>
      <c r="Q38" t="str">
        <f t="shared" si="2"/>
        <v/>
      </c>
      <c r="R38" s="809" t="str">
        <f t="shared" si="11"/>
        <v/>
      </c>
      <c r="S38" s="800">
        <f t="shared" si="12"/>
        <v>0</v>
      </c>
      <c r="T38" s="801">
        <f t="shared" si="13"/>
        <v>0</v>
      </c>
    </row>
    <row r="39" spans="2:20" ht="19.5" thickBot="1" x14ac:dyDescent="0.3">
      <c r="B39" s="907"/>
      <c r="C39" s="544">
        <v>91</v>
      </c>
      <c r="D39" s="760" t="s">
        <v>410</v>
      </c>
      <c r="E39" s="545" t="s">
        <v>38</v>
      </c>
      <c r="F39" s="644">
        <f>VLOOKUP($C39,CALC_Funding!$I$6:$J$146,2,FALSE)/1000</f>
        <v>40</v>
      </c>
      <c r="G39" s="644">
        <f>VLOOKUP($C39,CALC_Funding!$AH$6:$AP$146,4,FALSE)/1000</f>
        <v>0</v>
      </c>
      <c r="H39" s="532">
        <f>VLOOKUP($C39,CALC_Funding!$AH$6:$AP$146,5,FALSE)/1000</f>
        <v>0</v>
      </c>
      <c r="I39" s="533">
        <f t="shared" si="22"/>
        <v>40</v>
      </c>
      <c r="J39" s="532">
        <v>40</v>
      </c>
      <c r="K39" s="532">
        <v>0</v>
      </c>
      <c r="L39" s="532">
        <v>0</v>
      </c>
      <c r="M39" s="533">
        <v>40</v>
      </c>
      <c r="N39" t="str">
        <f t="shared" si="4"/>
        <v/>
      </c>
      <c r="O39" t="str">
        <f t="shared" si="0"/>
        <v/>
      </c>
      <c r="P39" t="str">
        <f t="shared" si="1"/>
        <v/>
      </c>
      <c r="Q39" t="str">
        <f t="shared" si="2"/>
        <v/>
      </c>
      <c r="R39" s="809" t="str">
        <f t="shared" si="11"/>
        <v/>
      </c>
      <c r="S39" s="800">
        <f t="shared" si="12"/>
        <v>0</v>
      </c>
      <c r="T39" s="801">
        <f t="shared" si="13"/>
        <v>0</v>
      </c>
    </row>
    <row r="40" spans="2:20" ht="19.5" thickBot="1" x14ac:dyDescent="0.3">
      <c r="B40" s="907"/>
      <c r="C40" s="544">
        <v>92</v>
      </c>
      <c r="D40" s="760" t="s">
        <v>511</v>
      </c>
      <c r="E40" s="545" t="s">
        <v>37</v>
      </c>
      <c r="F40" s="644">
        <f>VLOOKUP($C40,CALC_Funding!$I$6:$J$146,2,FALSE)/1000</f>
        <v>264</v>
      </c>
      <c r="G40" s="644">
        <f>VLOOKUP($C40,CALC_Funding!$AH$6:$AP$146,4,FALSE)/1000</f>
        <v>264</v>
      </c>
      <c r="H40" s="532">
        <f>VLOOKUP($C40,CALC_Funding!$AH$6:$AP$146,5,FALSE)/1000</f>
        <v>0</v>
      </c>
      <c r="I40" s="533">
        <f t="shared" si="22"/>
        <v>0</v>
      </c>
      <c r="J40" s="532">
        <v>264</v>
      </c>
      <c r="K40" s="532">
        <v>264</v>
      </c>
      <c r="L40" s="532">
        <v>0</v>
      </c>
      <c r="M40" s="533">
        <v>0</v>
      </c>
      <c r="N40" t="str">
        <f t="shared" si="4"/>
        <v/>
      </c>
      <c r="O40" t="str">
        <f t="shared" si="0"/>
        <v/>
      </c>
      <c r="P40" t="str">
        <f t="shared" si="1"/>
        <v/>
      </c>
      <c r="Q40" t="str">
        <f t="shared" si="2"/>
        <v/>
      </c>
      <c r="R40" s="809" t="str">
        <f t="shared" si="11"/>
        <v/>
      </c>
      <c r="S40" s="800">
        <f t="shared" si="12"/>
        <v>0</v>
      </c>
      <c r="T40" s="801">
        <f t="shared" si="13"/>
        <v>0</v>
      </c>
    </row>
    <row r="41" spans="2:20" ht="19.5" thickBot="1" x14ac:dyDescent="0.3">
      <c r="B41" s="907"/>
      <c r="C41" s="544">
        <v>94</v>
      </c>
      <c r="D41" s="760" t="s">
        <v>411</v>
      </c>
      <c r="E41" s="545" t="s">
        <v>37</v>
      </c>
      <c r="F41" s="644">
        <f>VLOOKUP($C41,CALC_Funding!$I$6:$J$146,2,FALSE)/1000</f>
        <v>528</v>
      </c>
      <c r="G41" s="644">
        <f>VLOOKUP($C41,CALC_Funding!$AH$6:$AP$146,4,FALSE)/1000</f>
        <v>528</v>
      </c>
      <c r="H41" s="532">
        <f>VLOOKUP($C41,CALC_Funding!$AH$6:$AP$146,5,FALSE)/1000</f>
        <v>0</v>
      </c>
      <c r="I41" s="533">
        <f t="shared" si="22"/>
        <v>0</v>
      </c>
      <c r="J41" s="532">
        <v>264</v>
      </c>
      <c r="K41" s="532">
        <v>264</v>
      </c>
      <c r="L41" s="532">
        <v>0</v>
      </c>
      <c r="M41" s="533">
        <v>0</v>
      </c>
      <c r="N41">
        <f t="shared" si="4"/>
        <v>1</v>
      </c>
      <c r="O41">
        <f t="shared" si="0"/>
        <v>1</v>
      </c>
      <c r="P41" t="str">
        <f t="shared" si="1"/>
        <v/>
      </c>
      <c r="Q41" t="str">
        <f t="shared" si="2"/>
        <v/>
      </c>
      <c r="R41" s="809" t="str">
        <f t="shared" si="11"/>
        <v>*</v>
      </c>
      <c r="S41" s="800">
        <f t="shared" si="12"/>
        <v>-264</v>
      </c>
      <c r="T41" s="801">
        <f t="shared" si="13"/>
        <v>0</v>
      </c>
    </row>
    <row r="42" spans="2:20" ht="19.5" thickBot="1" x14ac:dyDescent="0.3">
      <c r="B42" s="907"/>
      <c r="C42" s="544">
        <v>96</v>
      </c>
      <c r="D42" s="760" t="s">
        <v>415</v>
      </c>
      <c r="E42" s="545" t="s">
        <v>37</v>
      </c>
      <c r="F42" s="644">
        <f>VLOOKUP($C42,CALC_Funding!$I$6:$J$146,2,FALSE)/1000</f>
        <v>264</v>
      </c>
      <c r="G42" s="644">
        <f>VLOOKUP($C42,CALC_Funding!$AH$6:$AP$146,4,FALSE)/1000</f>
        <v>264</v>
      </c>
      <c r="H42" s="532">
        <f>VLOOKUP($C42,CALC_Funding!$AH$6:$AP$146,5,FALSE)/1000</f>
        <v>0</v>
      </c>
      <c r="I42" s="533">
        <f t="shared" si="22"/>
        <v>0</v>
      </c>
      <c r="J42" s="532">
        <v>0</v>
      </c>
      <c r="K42" s="532">
        <v>0</v>
      </c>
      <c r="L42" s="532">
        <v>0</v>
      </c>
      <c r="M42" s="533">
        <v>0</v>
      </c>
      <c r="N42">
        <f t="shared" si="4"/>
        <v>1</v>
      </c>
      <c r="O42">
        <f t="shared" si="0"/>
        <v>1</v>
      </c>
      <c r="P42" t="str">
        <f t="shared" si="1"/>
        <v/>
      </c>
      <c r="Q42" t="str">
        <f t="shared" si="2"/>
        <v/>
      </c>
      <c r="R42" s="809" t="str">
        <f t="shared" si="11"/>
        <v>*</v>
      </c>
      <c r="S42" s="800">
        <f t="shared" si="12"/>
        <v>-264</v>
      </c>
      <c r="T42" s="801">
        <f t="shared" si="13"/>
        <v>0</v>
      </c>
    </row>
    <row r="43" spans="2:20" ht="19.5" thickBot="1" x14ac:dyDescent="0.3">
      <c r="B43" s="907"/>
      <c r="C43" s="544">
        <v>98</v>
      </c>
      <c r="D43" s="760" t="s">
        <v>422</v>
      </c>
      <c r="E43" s="545" t="s">
        <v>37</v>
      </c>
      <c r="F43" s="644">
        <f>VLOOKUP($C43,CALC_Funding!$I$6:$J$146,2,FALSE)/1000</f>
        <v>80</v>
      </c>
      <c r="G43" s="644">
        <f>VLOOKUP($C43,CALC_Funding!$AH$6:$AP$146,4,FALSE)/1000</f>
        <v>80</v>
      </c>
      <c r="H43" s="532">
        <f>VLOOKUP($C43,CALC_Funding!$AH$6:$AP$146,5,FALSE)/1000</f>
        <v>0</v>
      </c>
      <c r="I43" s="533">
        <f t="shared" si="22"/>
        <v>0</v>
      </c>
      <c r="J43" s="532">
        <v>0</v>
      </c>
      <c r="K43" s="532">
        <v>0</v>
      </c>
      <c r="L43" s="532">
        <v>0</v>
      </c>
      <c r="M43" s="533">
        <v>0</v>
      </c>
      <c r="N43">
        <f t="shared" si="4"/>
        <v>1</v>
      </c>
      <c r="O43">
        <f t="shared" si="0"/>
        <v>1</v>
      </c>
      <c r="P43" t="str">
        <f t="shared" si="1"/>
        <v/>
      </c>
      <c r="Q43" t="str">
        <f t="shared" si="2"/>
        <v/>
      </c>
      <c r="R43" s="809" t="str">
        <f t="shared" si="11"/>
        <v>*</v>
      </c>
      <c r="S43" s="800">
        <f t="shared" si="12"/>
        <v>-80</v>
      </c>
      <c r="T43" s="801">
        <f t="shared" si="13"/>
        <v>0</v>
      </c>
    </row>
    <row r="44" spans="2:20" ht="19.5" thickBot="1" x14ac:dyDescent="0.3">
      <c r="B44" s="907"/>
      <c r="C44" s="544">
        <v>99</v>
      </c>
      <c r="D44" s="760" t="s">
        <v>413</v>
      </c>
      <c r="E44" s="545" t="s">
        <v>37</v>
      </c>
      <c r="F44" s="644">
        <f>VLOOKUP($C44,CALC_Funding!$I$6:$J$146,2,FALSE)/1000</f>
        <v>46</v>
      </c>
      <c r="G44" s="644">
        <f>VLOOKUP($C44,CALC_Funding!$AH$6:$AP$146,4,FALSE)/1000</f>
        <v>46</v>
      </c>
      <c r="H44" s="532">
        <f>VLOOKUP($C44,CALC_Funding!$AH$6:$AP$146,5,FALSE)/1000</f>
        <v>0</v>
      </c>
      <c r="I44" s="533">
        <f t="shared" si="22"/>
        <v>0</v>
      </c>
      <c r="J44" s="532">
        <v>69</v>
      </c>
      <c r="K44" s="532">
        <v>69</v>
      </c>
      <c r="L44" s="532">
        <v>0</v>
      </c>
      <c r="M44" s="533">
        <v>0</v>
      </c>
      <c r="N44">
        <f t="shared" si="4"/>
        <v>1</v>
      </c>
      <c r="O44">
        <f t="shared" si="0"/>
        <v>1</v>
      </c>
      <c r="P44" t="str">
        <f t="shared" si="1"/>
        <v/>
      </c>
      <c r="Q44" t="str">
        <f t="shared" si="2"/>
        <v/>
      </c>
      <c r="R44" s="809" t="str">
        <f t="shared" si="11"/>
        <v>*</v>
      </c>
      <c r="S44" s="800">
        <f t="shared" si="12"/>
        <v>23</v>
      </c>
      <c r="T44" s="801">
        <f t="shared" si="13"/>
        <v>0</v>
      </c>
    </row>
    <row r="45" spans="2:20" ht="19.5" thickBot="1" x14ac:dyDescent="0.3">
      <c r="B45" s="907"/>
      <c r="C45" s="544">
        <v>100</v>
      </c>
      <c r="D45" s="760" t="s">
        <v>413</v>
      </c>
      <c r="E45" s="545" t="s">
        <v>38</v>
      </c>
      <c r="F45" s="644">
        <f>VLOOKUP($C45,CALC_Funding!$I$6:$J$146,2,FALSE)/1000</f>
        <v>34.5</v>
      </c>
      <c r="G45" s="644">
        <f>VLOOKUP($C45,CALC_Funding!$AH$6:$AP$146,4,FALSE)/1000</f>
        <v>34.5</v>
      </c>
      <c r="H45" s="532">
        <f>VLOOKUP($C45,CALC_Funding!$AH$6:$AP$146,5,FALSE)/1000</f>
        <v>0</v>
      </c>
      <c r="I45" s="533">
        <f t="shared" si="22"/>
        <v>0</v>
      </c>
      <c r="J45" s="532">
        <v>25</v>
      </c>
      <c r="K45" s="532">
        <v>25</v>
      </c>
      <c r="L45" s="532">
        <v>0</v>
      </c>
      <c r="M45" s="533">
        <v>0</v>
      </c>
      <c r="N45">
        <f t="shared" si="4"/>
        <v>1</v>
      </c>
      <c r="O45">
        <f t="shared" si="0"/>
        <v>1</v>
      </c>
      <c r="P45" t="str">
        <f t="shared" si="1"/>
        <v/>
      </c>
      <c r="Q45" t="str">
        <f t="shared" si="2"/>
        <v/>
      </c>
      <c r="R45" s="809" t="str">
        <f t="shared" si="11"/>
        <v>*</v>
      </c>
      <c r="S45" s="800">
        <f t="shared" si="12"/>
        <v>-9.5</v>
      </c>
      <c r="T45" s="801">
        <f t="shared" si="13"/>
        <v>0</v>
      </c>
    </row>
    <row r="46" spans="2:20" ht="19.5" thickBot="1" x14ac:dyDescent="0.3">
      <c r="B46" s="907"/>
      <c r="C46" s="544">
        <v>102</v>
      </c>
      <c r="D46" s="760" t="s">
        <v>414</v>
      </c>
      <c r="E46" s="545" t="s">
        <v>38</v>
      </c>
      <c r="F46" s="644">
        <f>VLOOKUP($C46,CALC_Funding!$I$6:$J$146,2,FALSE)/1000</f>
        <v>0</v>
      </c>
      <c r="G46" s="644">
        <f>VLOOKUP($C46,CALC_Funding!$AH$6:$AP$146,4,FALSE)/1000</f>
        <v>0</v>
      </c>
      <c r="H46" s="532">
        <f>VLOOKUP($C46,CALC_Funding!$AH$6:$AP$146,5,FALSE)/1000</f>
        <v>0</v>
      </c>
      <c r="I46" s="533">
        <f t="shared" si="22"/>
        <v>0</v>
      </c>
      <c r="J46" s="532">
        <v>25</v>
      </c>
      <c r="K46" s="532">
        <v>25</v>
      </c>
      <c r="L46" s="532">
        <v>0</v>
      </c>
      <c r="M46" s="533">
        <v>0</v>
      </c>
      <c r="N46">
        <f t="shared" si="4"/>
        <v>1</v>
      </c>
      <c r="O46">
        <f t="shared" si="0"/>
        <v>1</v>
      </c>
      <c r="P46" t="str">
        <f t="shared" si="1"/>
        <v/>
      </c>
      <c r="Q46" t="str">
        <f t="shared" si="2"/>
        <v/>
      </c>
      <c r="R46" s="809" t="str">
        <f t="shared" si="11"/>
        <v>*</v>
      </c>
      <c r="S46" s="800">
        <f t="shared" si="12"/>
        <v>25</v>
      </c>
      <c r="T46" s="801">
        <f t="shared" si="13"/>
        <v>0</v>
      </c>
    </row>
    <row r="47" spans="2:20" ht="19.5" thickBot="1" x14ac:dyDescent="0.3">
      <c r="B47" s="907"/>
      <c r="C47" s="544">
        <v>103</v>
      </c>
      <c r="D47" s="760" t="s">
        <v>408</v>
      </c>
      <c r="E47" s="545" t="s">
        <v>37</v>
      </c>
      <c r="F47" s="644">
        <f>VLOOKUP($C47,CALC_Funding!$I$6:$J$146,2,FALSE)/1000</f>
        <v>83.4</v>
      </c>
      <c r="G47" s="644">
        <f>VLOOKUP($C47,CALC_Funding!$AH$6:$AP$146,4,FALSE)/1000</f>
        <v>83.4</v>
      </c>
      <c r="H47" s="532">
        <f>VLOOKUP($C47,CALC_Funding!$AH$6:$AP$146,5,FALSE)/1000</f>
        <v>0</v>
      </c>
      <c r="I47" s="533">
        <f t="shared" si="22"/>
        <v>0</v>
      </c>
      <c r="J47" s="532">
        <v>125.1</v>
      </c>
      <c r="K47" s="532">
        <v>125.1</v>
      </c>
      <c r="L47" s="532">
        <v>0</v>
      </c>
      <c r="M47" s="533">
        <v>0</v>
      </c>
      <c r="N47">
        <f t="shared" si="4"/>
        <v>1</v>
      </c>
      <c r="O47">
        <f t="shared" si="0"/>
        <v>1</v>
      </c>
      <c r="P47" t="str">
        <f t="shared" si="1"/>
        <v/>
      </c>
      <c r="Q47" t="str">
        <f t="shared" si="2"/>
        <v/>
      </c>
      <c r="R47" s="809" t="str">
        <f t="shared" si="11"/>
        <v>*</v>
      </c>
      <c r="S47" s="800">
        <f t="shared" si="12"/>
        <v>41.699999999999989</v>
      </c>
      <c r="T47" s="801">
        <f t="shared" si="13"/>
        <v>0</v>
      </c>
    </row>
    <row r="48" spans="2:20" ht="19.5" thickBot="1" x14ac:dyDescent="0.3">
      <c r="B48" s="907"/>
      <c r="C48" s="544">
        <v>104</v>
      </c>
      <c r="D48" s="760" t="s">
        <v>409</v>
      </c>
      <c r="E48" s="545" t="s">
        <v>37</v>
      </c>
      <c r="F48" s="644">
        <f>VLOOKUP($C48,CALC_Funding!$I$6:$J$146,2,FALSE)/1000</f>
        <v>266.10000000000002</v>
      </c>
      <c r="G48" s="644">
        <f>VLOOKUP($C48,CALC_Funding!$AH$6:$AP$146,4,FALSE)/1000</f>
        <v>266.10000000000002</v>
      </c>
      <c r="H48" s="532">
        <f>VLOOKUP($C48,CALC_Funding!$AH$6:$AP$146,5,FALSE)/1000</f>
        <v>0</v>
      </c>
      <c r="I48" s="533">
        <f t="shared" si="22"/>
        <v>0</v>
      </c>
      <c r="J48" s="532">
        <v>399.15</v>
      </c>
      <c r="K48" s="532">
        <v>399.15</v>
      </c>
      <c r="L48" s="532">
        <v>0</v>
      </c>
      <c r="M48" s="533">
        <v>0</v>
      </c>
      <c r="N48">
        <f t="shared" si="4"/>
        <v>1</v>
      </c>
      <c r="O48">
        <f t="shared" si="0"/>
        <v>1</v>
      </c>
      <c r="P48" t="str">
        <f t="shared" si="1"/>
        <v/>
      </c>
      <c r="Q48" t="str">
        <f t="shared" si="2"/>
        <v/>
      </c>
      <c r="R48" s="809" t="str">
        <f t="shared" si="11"/>
        <v>*</v>
      </c>
      <c r="S48" s="800">
        <f t="shared" si="12"/>
        <v>133.04999999999995</v>
      </c>
      <c r="T48" s="801">
        <f t="shared" si="13"/>
        <v>0</v>
      </c>
    </row>
    <row r="49" spans="2:20" ht="19.5" thickBot="1" x14ac:dyDescent="0.3">
      <c r="B49" s="907"/>
      <c r="C49" s="544">
        <v>105</v>
      </c>
      <c r="D49" s="760" t="s">
        <v>421</v>
      </c>
      <c r="E49" s="545" t="s">
        <v>38</v>
      </c>
      <c r="F49" s="644">
        <f>VLOOKUP($C49,CALC_Funding!$I$6:$J$146,2,FALSE)/1000</f>
        <v>120</v>
      </c>
      <c r="G49" s="772">
        <f>VLOOKUP($C49,CALC_Funding!$AH$6:$AP$146,4,FALSE)/1000</f>
        <v>120</v>
      </c>
      <c r="H49" s="773">
        <f>VLOOKUP($C49,CALC_Funding!$AH$6:$AP$146,5,FALSE)/1000</f>
        <v>0</v>
      </c>
      <c r="I49" s="533">
        <f t="shared" si="22"/>
        <v>0</v>
      </c>
      <c r="J49" s="532">
        <v>0</v>
      </c>
      <c r="K49" s="532">
        <v>0</v>
      </c>
      <c r="L49" s="532">
        <v>0</v>
      </c>
      <c r="M49" s="533">
        <v>0</v>
      </c>
      <c r="N49">
        <f t="shared" si="4"/>
        <v>1</v>
      </c>
      <c r="O49">
        <f t="shared" si="0"/>
        <v>1</v>
      </c>
      <c r="P49" t="str">
        <f t="shared" si="1"/>
        <v/>
      </c>
      <c r="Q49" t="str">
        <f t="shared" si="2"/>
        <v/>
      </c>
      <c r="R49" s="809" t="str">
        <f t="shared" si="11"/>
        <v>*</v>
      </c>
      <c r="S49" s="800">
        <f t="shared" si="12"/>
        <v>-120</v>
      </c>
      <c r="T49" s="801">
        <f t="shared" si="13"/>
        <v>0</v>
      </c>
    </row>
    <row r="50" spans="2:20" ht="19.5" thickBot="1" x14ac:dyDescent="0.3">
      <c r="B50" s="908"/>
      <c r="C50" s="538"/>
      <c r="D50" s="538"/>
      <c r="E50" s="539"/>
      <c r="F50" s="645">
        <f t="shared" ref="F50:M50" si="23">SUM(F38:F49)</f>
        <v>1766</v>
      </c>
      <c r="G50" s="645">
        <f t="shared" si="23"/>
        <v>1686</v>
      </c>
      <c r="H50" s="541">
        <f t="shared" si="23"/>
        <v>0</v>
      </c>
      <c r="I50" s="542">
        <f t="shared" si="23"/>
        <v>80</v>
      </c>
      <c r="J50" s="540">
        <v>1251.25</v>
      </c>
      <c r="K50" s="540">
        <v>1171.25</v>
      </c>
      <c r="L50" s="540">
        <v>0</v>
      </c>
      <c r="M50" s="543">
        <v>80</v>
      </c>
      <c r="N50">
        <f t="shared" si="4"/>
        <v>1</v>
      </c>
      <c r="O50">
        <f t="shared" si="0"/>
        <v>1</v>
      </c>
      <c r="P50" t="str">
        <f t="shared" si="1"/>
        <v/>
      </c>
      <c r="Q50" t="str">
        <f t="shared" si="2"/>
        <v/>
      </c>
      <c r="R50" s="809" t="str">
        <f t="shared" si="11"/>
        <v>*</v>
      </c>
      <c r="S50" s="800">
        <f t="shared" si="12"/>
        <v>-514.75</v>
      </c>
      <c r="T50" s="801">
        <f t="shared" si="13"/>
        <v>0</v>
      </c>
    </row>
    <row r="51" spans="2:20" ht="19.5" thickBot="1" x14ac:dyDescent="0.3">
      <c r="B51" s="909" t="str">
        <f>OUT_FinCase_Summary!B52</f>
        <v>Monitoring and Evaluation Costs</v>
      </c>
      <c r="C51" s="544">
        <v>116</v>
      </c>
      <c r="D51" s="760" t="s">
        <v>42</v>
      </c>
      <c r="E51" s="545" t="s">
        <v>37</v>
      </c>
      <c r="F51" s="644">
        <f>VLOOKUP($C51,CALC_Funding!$I$6:$J$146,2,FALSE)/1000</f>
        <v>200</v>
      </c>
      <c r="G51" s="644">
        <f>VLOOKUP($C51,CALC_Funding!$AH$6:$AP$146,4,FALSE)/1000</f>
        <v>200</v>
      </c>
      <c r="H51" s="532"/>
      <c r="I51" s="533">
        <f t="shared" ref="I51:I54" si="24">F51-SUM(G51:H51)</f>
        <v>0</v>
      </c>
      <c r="J51" s="532">
        <v>200</v>
      </c>
      <c r="K51" s="532">
        <v>200</v>
      </c>
      <c r="L51" s="532"/>
      <c r="M51" s="533">
        <v>0</v>
      </c>
      <c r="N51" t="str">
        <f t="shared" si="4"/>
        <v/>
      </c>
      <c r="O51" t="str">
        <f t="shared" si="0"/>
        <v/>
      </c>
      <c r="P51" t="str">
        <f t="shared" si="1"/>
        <v/>
      </c>
      <c r="Q51" t="str">
        <f t="shared" si="2"/>
        <v/>
      </c>
      <c r="R51" s="809" t="str">
        <f t="shared" si="11"/>
        <v/>
      </c>
      <c r="S51" s="800">
        <f t="shared" si="12"/>
        <v>0</v>
      </c>
      <c r="T51" s="801">
        <f t="shared" si="13"/>
        <v>0</v>
      </c>
    </row>
    <row r="52" spans="2:20" ht="19.5" thickBot="1" x14ac:dyDescent="0.3">
      <c r="B52" s="910"/>
      <c r="C52" s="544">
        <v>117</v>
      </c>
      <c r="D52" s="760" t="s">
        <v>42</v>
      </c>
      <c r="E52" s="545" t="s">
        <v>38</v>
      </c>
      <c r="F52" s="644">
        <f>VLOOKUP($C52,CALC_Funding!$I$6:$J$146,2,FALSE)/1000</f>
        <v>200</v>
      </c>
      <c r="G52" s="644">
        <f>VLOOKUP($C52,CALC_Funding!$AH$6:$AP$146,4,FALSE)/1000</f>
        <v>200</v>
      </c>
      <c r="H52" s="532"/>
      <c r="I52" s="533">
        <f t="shared" si="24"/>
        <v>0</v>
      </c>
      <c r="J52" s="532">
        <v>200</v>
      </c>
      <c r="K52" s="532">
        <v>200</v>
      </c>
      <c r="L52" s="532"/>
      <c r="M52" s="533">
        <v>0</v>
      </c>
      <c r="N52" t="str">
        <f t="shared" si="4"/>
        <v/>
      </c>
      <c r="O52" t="str">
        <f t="shared" si="0"/>
        <v/>
      </c>
      <c r="P52" t="str">
        <f t="shared" si="1"/>
        <v/>
      </c>
      <c r="Q52" t="str">
        <f t="shared" si="2"/>
        <v/>
      </c>
      <c r="R52" s="809" t="str">
        <f t="shared" si="11"/>
        <v/>
      </c>
      <c r="S52" s="800">
        <f t="shared" si="12"/>
        <v>0</v>
      </c>
      <c r="T52" s="801">
        <f t="shared" si="13"/>
        <v>0</v>
      </c>
    </row>
    <row r="53" spans="2:20" ht="19.5" thickBot="1" x14ac:dyDescent="0.3">
      <c r="B53" s="910"/>
      <c r="C53" s="544">
        <v>120</v>
      </c>
      <c r="D53" s="760" t="s">
        <v>16</v>
      </c>
      <c r="E53" s="545" t="s">
        <v>37</v>
      </c>
      <c r="F53" s="644">
        <f>VLOOKUP($C53,CALC_Funding!$I$6:$J$146,2,FALSE)/1000</f>
        <v>80</v>
      </c>
      <c r="G53" s="644">
        <f>VLOOKUP($C53,CALC_Funding!$AH$6:$AP$146,4,FALSE)/1000</f>
        <v>80</v>
      </c>
      <c r="H53" s="532"/>
      <c r="I53" s="533">
        <f t="shared" si="24"/>
        <v>0</v>
      </c>
      <c r="J53" s="532">
        <v>80</v>
      </c>
      <c r="K53" s="532">
        <v>80</v>
      </c>
      <c r="L53" s="532"/>
      <c r="M53" s="533">
        <v>0</v>
      </c>
      <c r="N53" t="str">
        <f t="shared" si="4"/>
        <v/>
      </c>
      <c r="O53" t="str">
        <f t="shared" si="0"/>
        <v/>
      </c>
      <c r="P53" t="str">
        <f t="shared" si="1"/>
        <v/>
      </c>
      <c r="Q53" t="str">
        <f t="shared" si="2"/>
        <v/>
      </c>
      <c r="R53" s="809" t="str">
        <f t="shared" si="11"/>
        <v/>
      </c>
      <c r="S53" s="800">
        <f t="shared" si="12"/>
        <v>0</v>
      </c>
      <c r="T53" s="801">
        <f t="shared" si="13"/>
        <v>0</v>
      </c>
    </row>
    <row r="54" spans="2:20" ht="19.5" thickBot="1" x14ac:dyDescent="0.3">
      <c r="B54" s="910"/>
      <c r="C54" s="544">
        <v>121</v>
      </c>
      <c r="D54" s="760" t="s">
        <v>17</v>
      </c>
      <c r="E54" s="545" t="s">
        <v>37</v>
      </c>
      <c r="F54" s="644">
        <f>VLOOKUP($C54,CALC_Funding!$I$6:$J$146,2,FALSE)/1000</f>
        <v>80</v>
      </c>
      <c r="G54" s="644">
        <f>VLOOKUP($C54,CALC_Funding!$AH$6:$AP$146,4,FALSE)/1000</f>
        <v>80</v>
      </c>
      <c r="H54" s="532"/>
      <c r="I54" s="533">
        <f t="shared" si="24"/>
        <v>0</v>
      </c>
      <c r="J54" s="532">
        <v>80</v>
      </c>
      <c r="K54" s="532">
        <v>80</v>
      </c>
      <c r="L54" s="532"/>
      <c r="M54" s="533">
        <v>0</v>
      </c>
      <c r="N54" t="str">
        <f t="shared" si="4"/>
        <v/>
      </c>
      <c r="O54" t="str">
        <f t="shared" si="0"/>
        <v/>
      </c>
      <c r="P54" t="str">
        <f t="shared" si="1"/>
        <v/>
      </c>
      <c r="Q54" t="str">
        <f t="shared" si="2"/>
        <v/>
      </c>
      <c r="R54" s="809" t="str">
        <f t="shared" si="11"/>
        <v/>
      </c>
      <c r="S54" s="800">
        <f t="shared" si="12"/>
        <v>0</v>
      </c>
      <c r="T54" s="801">
        <f t="shared" si="13"/>
        <v>0</v>
      </c>
    </row>
    <row r="55" spans="2:20" ht="19.5" thickBot="1" x14ac:dyDescent="0.3">
      <c r="B55" s="911"/>
      <c r="C55" s="538"/>
      <c r="D55" s="538"/>
      <c r="E55" s="539"/>
      <c r="F55" s="645">
        <f t="shared" ref="F55" si="25">SUM(F51:F54)</f>
        <v>560</v>
      </c>
      <c r="G55" s="645">
        <f t="shared" ref="G55:I55" si="26">SUM(G51:G54)</f>
        <v>560</v>
      </c>
      <c r="H55" s="541">
        <f t="shared" si="26"/>
        <v>0</v>
      </c>
      <c r="I55" s="542">
        <f t="shared" si="26"/>
        <v>0</v>
      </c>
      <c r="J55" s="540">
        <v>560</v>
      </c>
      <c r="K55" s="540">
        <v>560</v>
      </c>
      <c r="L55" s="540">
        <v>0</v>
      </c>
      <c r="M55" s="543">
        <v>0</v>
      </c>
      <c r="N55" t="str">
        <f t="shared" si="4"/>
        <v/>
      </c>
      <c r="O55" t="str">
        <f t="shared" si="0"/>
        <v/>
      </c>
      <c r="P55" t="str">
        <f t="shared" si="1"/>
        <v/>
      </c>
      <c r="Q55" t="str">
        <f t="shared" si="2"/>
        <v/>
      </c>
      <c r="R55" s="809" t="str">
        <f t="shared" si="11"/>
        <v/>
      </c>
      <c r="S55" s="800">
        <f t="shared" si="12"/>
        <v>0</v>
      </c>
      <c r="T55" s="801">
        <f t="shared" si="13"/>
        <v>0</v>
      </c>
    </row>
    <row r="56" spans="2:20" ht="19.5" thickBot="1" x14ac:dyDescent="0.3">
      <c r="B56" s="548"/>
      <c r="C56" s="544">
        <v>132</v>
      </c>
      <c r="D56" s="760" t="s">
        <v>137</v>
      </c>
      <c r="E56" s="545" t="s">
        <v>37</v>
      </c>
      <c r="F56" s="644">
        <f>VLOOKUP($C56,CALC_Funding!$I$6:$J$146,2,FALSE)/1000</f>
        <v>0</v>
      </c>
      <c r="G56" s="778">
        <f>VLOOKUP($C56,CALC_Funding!$AH$6:$AP$146,4,FALSE)/1000</f>
        <v>0</v>
      </c>
      <c r="H56" s="775">
        <f>VLOOKUP($C56,CALC_Funding!$AH$6:$AP$146,5,FALSE)/1000</f>
        <v>0</v>
      </c>
      <c r="I56" s="533">
        <f t="shared" ref="I56:I60" si="27">F56-SUM(G56:H56)</f>
        <v>0</v>
      </c>
      <c r="J56" s="532">
        <v>13291.600000000002</v>
      </c>
      <c r="K56" s="532">
        <v>0</v>
      </c>
      <c r="L56" s="532">
        <v>13291.600000000002</v>
      </c>
      <c r="M56" s="533">
        <v>0</v>
      </c>
      <c r="N56">
        <f t="shared" si="4"/>
        <v>1</v>
      </c>
      <c r="O56" t="str">
        <f t="shared" si="0"/>
        <v/>
      </c>
      <c r="P56">
        <f t="shared" si="1"/>
        <v>1</v>
      </c>
      <c r="Q56" t="str">
        <f t="shared" si="2"/>
        <v/>
      </c>
      <c r="R56" s="809" t="str">
        <f t="shared" si="11"/>
        <v>*</v>
      </c>
      <c r="S56" s="800">
        <f t="shared" si="12"/>
        <v>0</v>
      </c>
      <c r="T56" s="801">
        <f t="shared" si="13"/>
        <v>13291.600000000002</v>
      </c>
    </row>
    <row r="57" spans="2:20" ht="19.5" thickBot="1" x14ac:dyDescent="0.3">
      <c r="B57" s="910" t="s">
        <v>745</v>
      </c>
      <c r="C57" s="544">
        <v>133</v>
      </c>
      <c r="D57" s="760" t="s">
        <v>138</v>
      </c>
      <c r="E57" s="545" t="s">
        <v>37</v>
      </c>
      <c r="F57" s="644">
        <f>VLOOKUP($C57,CALC_Funding!$I$6:$J$146,2,FALSE)/1000</f>
        <v>12450.438000000004</v>
      </c>
      <c r="G57" s="644">
        <f>VLOOKUP($C57,CALC_Funding!$AH$6:$AP$146,4,FALSE)/1000</f>
        <v>12450.438000000004</v>
      </c>
      <c r="H57" s="532">
        <f>VLOOKUP($C57,CALC_Funding!$AH$6:$AP$146,5,FALSE)/1000</f>
        <v>0</v>
      </c>
      <c r="I57" s="533">
        <f t="shared" si="27"/>
        <v>0</v>
      </c>
      <c r="J57" s="532">
        <v>11337.865000000002</v>
      </c>
      <c r="K57" s="532">
        <v>0</v>
      </c>
      <c r="L57" s="532">
        <v>11337.865000000002</v>
      </c>
      <c r="M57" s="533">
        <v>0</v>
      </c>
      <c r="N57">
        <f t="shared" si="4"/>
        <v>1</v>
      </c>
      <c r="O57">
        <f t="shared" si="0"/>
        <v>1</v>
      </c>
      <c r="P57">
        <f t="shared" si="1"/>
        <v>1</v>
      </c>
      <c r="Q57" t="str">
        <f t="shared" si="2"/>
        <v/>
      </c>
      <c r="R57" s="809" t="str">
        <f t="shared" si="11"/>
        <v>*</v>
      </c>
      <c r="S57" s="800">
        <f t="shared" si="12"/>
        <v>-12450.438000000004</v>
      </c>
      <c r="T57" s="801">
        <f t="shared" si="13"/>
        <v>11337.865000000002</v>
      </c>
    </row>
    <row r="58" spans="2:20" ht="19.5" thickBot="1" x14ac:dyDescent="0.3">
      <c r="B58" s="910"/>
      <c r="C58" s="544">
        <v>134</v>
      </c>
      <c r="D58" s="760" t="s">
        <v>289</v>
      </c>
      <c r="E58" s="545" t="s">
        <v>37</v>
      </c>
      <c r="F58" s="644">
        <f>VLOOKUP($C58,CALC_Funding!$I$6:$J$146,2,FALSE)/1000</f>
        <v>227.85000000000002</v>
      </c>
      <c r="G58" s="644">
        <f>VLOOKUP($C58,CALC_Funding!$AH$6:$AP$146,4,FALSE)/1000</f>
        <v>0</v>
      </c>
      <c r="H58" s="532">
        <f>VLOOKUP($C58,CALC_Funding!$AH$6:$AP$146,5,FALSE)/1000</f>
        <v>227.85000000000002</v>
      </c>
      <c r="I58" s="533">
        <f t="shared" si="27"/>
        <v>0</v>
      </c>
      <c r="J58" s="532">
        <v>227.85000000000002</v>
      </c>
      <c r="K58" s="532">
        <v>0</v>
      </c>
      <c r="L58" s="532">
        <v>227.85000000000002</v>
      </c>
      <c r="M58" s="533">
        <v>0</v>
      </c>
      <c r="N58" t="str">
        <f t="shared" si="4"/>
        <v/>
      </c>
      <c r="O58" t="str">
        <f t="shared" si="0"/>
        <v/>
      </c>
      <c r="P58" t="str">
        <f t="shared" si="1"/>
        <v/>
      </c>
      <c r="Q58" t="str">
        <f t="shared" si="2"/>
        <v/>
      </c>
      <c r="R58" s="809" t="str">
        <f t="shared" si="11"/>
        <v/>
      </c>
      <c r="S58" s="800">
        <f t="shared" si="12"/>
        <v>0</v>
      </c>
      <c r="T58" s="801">
        <f t="shared" si="13"/>
        <v>0</v>
      </c>
    </row>
    <row r="59" spans="2:20" ht="19.5" thickBot="1" x14ac:dyDescent="0.3">
      <c r="B59" s="910"/>
      <c r="C59" s="544">
        <v>135</v>
      </c>
      <c r="D59" s="760" t="s">
        <v>139</v>
      </c>
      <c r="E59" s="545" t="s">
        <v>37</v>
      </c>
      <c r="F59" s="644">
        <f>VLOOKUP($C59,CALC_Funding!$I$6:$J$146,2,FALSE)/1000</f>
        <v>6385.75</v>
      </c>
      <c r="G59" s="644">
        <f>VLOOKUP($C59,CALC_Funding!$AH$6:$AP$146,4,FALSE)/1000</f>
        <v>0</v>
      </c>
      <c r="H59" s="532">
        <f>VLOOKUP($C59,CALC_Funding!$AH$6:$AP$146,5,FALSE)/1000</f>
        <v>6385.75</v>
      </c>
      <c r="I59" s="533">
        <f t="shared" si="27"/>
        <v>0</v>
      </c>
      <c r="J59" s="532">
        <v>6385.75</v>
      </c>
      <c r="K59" s="532">
        <v>0</v>
      </c>
      <c r="L59" s="532">
        <v>6385.75</v>
      </c>
      <c r="M59" s="533">
        <v>0</v>
      </c>
      <c r="N59" t="str">
        <f t="shared" si="4"/>
        <v/>
      </c>
      <c r="O59" t="str">
        <f t="shared" si="0"/>
        <v/>
      </c>
      <c r="P59" t="str">
        <f t="shared" si="1"/>
        <v/>
      </c>
      <c r="Q59" t="str">
        <f t="shared" si="2"/>
        <v/>
      </c>
      <c r="R59" s="809" t="str">
        <f t="shared" si="11"/>
        <v/>
      </c>
      <c r="S59" s="800">
        <f t="shared" si="12"/>
        <v>0</v>
      </c>
      <c r="T59" s="801">
        <f t="shared" si="13"/>
        <v>0</v>
      </c>
    </row>
    <row r="60" spans="2:20" ht="19.5" thickBot="1" x14ac:dyDescent="0.3">
      <c r="B60" s="910"/>
      <c r="C60" s="544">
        <v>136</v>
      </c>
      <c r="D60" s="760" t="s">
        <v>140</v>
      </c>
      <c r="E60" s="545" t="s">
        <v>37</v>
      </c>
      <c r="F60" s="644">
        <f>VLOOKUP($C60,CALC_Funding!$I$6:$J$146,2,FALSE)/1000</f>
        <v>2471</v>
      </c>
      <c r="G60" s="772">
        <f>VLOOKUP($C60,CALC_Funding!$AH$6:$AP$146,4,FALSE)/1000</f>
        <v>0</v>
      </c>
      <c r="H60" s="773">
        <f>VLOOKUP($C60,CALC_Funding!$AH$6:$AP$146,5,FALSE)/1000</f>
        <v>2471</v>
      </c>
      <c r="I60" s="533">
        <f t="shared" si="27"/>
        <v>0</v>
      </c>
      <c r="J60" s="532">
        <v>2471</v>
      </c>
      <c r="K60" s="532">
        <v>0</v>
      </c>
      <c r="L60" s="532">
        <v>2471</v>
      </c>
      <c r="M60" s="533">
        <v>0</v>
      </c>
      <c r="N60" t="str">
        <f t="shared" si="4"/>
        <v/>
      </c>
      <c r="O60" t="str">
        <f t="shared" si="0"/>
        <v/>
      </c>
      <c r="P60" t="str">
        <f t="shared" si="1"/>
        <v/>
      </c>
      <c r="Q60" t="str">
        <f t="shared" si="2"/>
        <v/>
      </c>
      <c r="R60" s="809" t="str">
        <f t="shared" si="11"/>
        <v/>
      </c>
      <c r="S60" s="800">
        <f t="shared" si="12"/>
        <v>0</v>
      </c>
      <c r="T60" s="801">
        <f t="shared" si="13"/>
        <v>0</v>
      </c>
    </row>
    <row r="61" spans="2:20" ht="19.5" thickBot="1" x14ac:dyDescent="0.3">
      <c r="B61" s="911"/>
      <c r="C61" s="538"/>
      <c r="D61" s="538"/>
      <c r="E61" s="539"/>
      <c r="F61" s="645">
        <f t="shared" ref="F61" si="28">SUM(F56:F60)</f>
        <v>21535.038000000004</v>
      </c>
      <c r="G61" s="645">
        <f t="shared" ref="G61:M61" si="29">SUM(G56:G60)</f>
        <v>12450.438000000004</v>
      </c>
      <c r="H61" s="541">
        <f t="shared" si="29"/>
        <v>9084.6</v>
      </c>
      <c r="I61" s="541">
        <f t="shared" si="29"/>
        <v>0</v>
      </c>
      <c r="J61" s="540">
        <v>33714.065000000002</v>
      </c>
      <c r="K61" s="540">
        <v>0</v>
      </c>
      <c r="L61" s="540">
        <v>33714.065000000002</v>
      </c>
      <c r="M61" s="543">
        <v>0</v>
      </c>
      <c r="N61">
        <f t="shared" si="4"/>
        <v>1</v>
      </c>
      <c r="O61">
        <f t="shared" si="0"/>
        <v>1</v>
      </c>
      <c r="P61">
        <f t="shared" si="1"/>
        <v>1</v>
      </c>
      <c r="Q61" t="str">
        <f t="shared" si="2"/>
        <v/>
      </c>
      <c r="R61" s="809" t="str">
        <f t="shared" si="11"/>
        <v>*</v>
      </c>
      <c r="S61" s="800">
        <f t="shared" si="12"/>
        <v>-12450.438000000004</v>
      </c>
      <c r="T61" s="801">
        <f t="shared" si="13"/>
        <v>24629.465000000004</v>
      </c>
    </row>
    <row r="62" spans="2:20" ht="19.5" thickBot="1" x14ac:dyDescent="0.3">
      <c r="B62" s="909" t="s">
        <v>296</v>
      </c>
      <c r="C62" s="544">
        <v>5</v>
      </c>
      <c r="D62" s="760" t="s">
        <v>1</v>
      </c>
      <c r="E62" s="545" t="s">
        <v>37</v>
      </c>
      <c r="F62" s="644">
        <f>VLOOKUP($C62,CALC_Funding!$I$6:$J$146,2,FALSE)/1000</f>
        <v>81.599999999999994</v>
      </c>
      <c r="G62" s="778">
        <f>VLOOKUP($C62,CALC_Funding!$AH$6:$AP$146,4,FALSE)/1000</f>
        <v>81.599999999999994</v>
      </c>
      <c r="H62" s="775">
        <f>VLOOKUP($C62,CALC_Funding!$AH$6:$AP$146,5,FALSE)/1000</f>
        <v>0</v>
      </c>
      <c r="I62" s="533">
        <f t="shared" ref="I62:I64" si="30">F62-SUM(G62:H62)</f>
        <v>0</v>
      </c>
      <c r="J62" s="532">
        <v>81.599999999999994</v>
      </c>
      <c r="K62" s="532">
        <v>81.599999999999994</v>
      </c>
      <c r="L62" s="532">
        <v>0</v>
      </c>
      <c r="M62" s="533">
        <v>0</v>
      </c>
      <c r="N62" t="str">
        <f t="shared" si="4"/>
        <v/>
      </c>
      <c r="O62" t="str">
        <f t="shared" si="0"/>
        <v/>
      </c>
      <c r="P62" t="str">
        <f t="shared" si="1"/>
        <v/>
      </c>
      <c r="Q62" t="str">
        <f t="shared" si="2"/>
        <v/>
      </c>
      <c r="R62" s="809" t="str">
        <f t="shared" si="11"/>
        <v/>
      </c>
      <c r="S62" s="800">
        <f t="shared" si="12"/>
        <v>0</v>
      </c>
      <c r="T62" s="801">
        <f t="shared" si="13"/>
        <v>0</v>
      </c>
    </row>
    <row r="63" spans="2:20" ht="19.5" thickBot="1" x14ac:dyDescent="0.3">
      <c r="B63" s="910"/>
      <c r="C63" s="544">
        <v>73</v>
      </c>
      <c r="D63" s="760" t="s">
        <v>479</v>
      </c>
      <c r="E63" s="545" t="s">
        <v>37</v>
      </c>
      <c r="F63" s="644">
        <f>VLOOKUP($C63,CALC_Funding!$I$6:$J$146,2,FALSE)/1000</f>
        <v>51.8</v>
      </c>
      <c r="G63" s="644">
        <f>VLOOKUP($C63,CALC_Funding!$AH$6:$AP$146,4,FALSE)/1000</f>
        <v>51.8</v>
      </c>
      <c r="H63" s="532"/>
      <c r="I63" s="533">
        <f t="shared" si="30"/>
        <v>0</v>
      </c>
      <c r="J63" s="532">
        <v>51.8</v>
      </c>
      <c r="K63" s="532">
        <v>51.8</v>
      </c>
      <c r="L63" s="532"/>
      <c r="M63" s="533">
        <v>0</v>
      </c>
      <c r="N63" t="str">
        <f t="shared" si="4"/>
        <v/>
      </c>
      <c r="O63" t="str">
        <f t="shared" si="0"/>
        <v/>
      </c>
      <c r="P63" t="str">
        <f t="shared" si="1"/>
        <v/>
      </c>
      <c r="Q63" t="str">
        <f t="shared" si="2"/>
        <v/>
      </c>
      <c r="R63" s="809" t="str">
        <f t="shared" si="11"/>
        <v/>
      </c>
      <c r="S63" s="800">
        <f t="shared" si="12"/>
        <v>0</v>
      </c>
      <c r="T63" s="801">
        <f t="shared" si="13"/>
        <v>0</v>
      </c>
    </row>
    <row r="64" spans="2:20" ht="19.5" thickBot="1" x14ac:dyDescent="0.3">
      <c r="B64" s="910"/>
      <c r="C64" s="544">
        <v>74</v>
      </c>
      <c r="D64" s="760" t="s">
        <v>479</v>
      </c>
      <c r="E64" s="545" t="s">
        <v>38</v>
      </c>
      <c r="F64" s="644">
        <f>VLOOKUP($C64,CALC_Funding!$I$6:$J$146,2,FALSE)/1000</f>
        <v>400.4</v>
      </c>
      <c r="G64" s="772">
        <f>VLOOKUP($C64,CALC_Funding!$AH$6:$AP$146,4,FALSE)/1000</f>
        <v>400.4</v>
      </c>
      <c r="H64" s="773"/>
      <c r="I64" s="533">
        <f t="shared" si="30"/>
        <v>0</v>
      </c>
      <c r="J64" s="532">
        <v>400.4</v>
      </c>
      <c r="K64" s="532">
        <v>400.4</v>
      </c>
      <c r="L64" s="532"/>
      <c r="M64" s="533">
        <v>0</v>
      </c>
      <c r="N64" t="str">
        <f t="shared" si="4"/>
        <v/>
      </c>
      <c r="O64" t="str">
        <f t="shared" si="0"/>
        <v/>
      </c>
      <c r="P64" t="str">
        <f t="shared" si="1"/>
        <v/>
      </c>
      <c r="Q64" t="str">
        <f t="shared" si="2"/>
        <v/>
      </c>
      <c r="R64" s="809" t="str">
        <f t="shared" si="11"/>
        <v/>
      </c>
      <c r="S64" s="800">
        <f t="shared" si="12"/>
        <v>0</v>
      </c>
      <c r="T64" s="801">
        <f t="shared" si="13"/>
        <v>0</v>
      </c>
    </row>
    <row r="65" spans="2:20" ht="19.5" thickBot="1" x14ac:dyDescent="0.3">
      <c r="B65" s="912"/>
      <c r="C65" s="538"/>
      <c r="D65" s="538"/>
      <c r="E65" s="539"/>
      <c r="F65" s="645">
        <f t="shared" ref="F65" si="31">SUM(F62:F64)</f>
        <v>533.79999999999995</v>
      </c>
      <c r="G65" s="645">
        <f t="shared" ref="G65:I65" si="32">SUM(G62:G64)</f>
        <v>533.79999999999995</v>
      </c>
      <c r="H65" s="541">
        <f t="shared" si="32"/>
        <v>0</v>
      </c>
      <c r="I65" s="542">
        <f t="shared" si="32"/>
        <v>0</v>
      </c>
      <c r="J65" s="540">
        <v>533.79999999999995</v>
      </c>
      <c r="K65" s="540">
        <v>533.79999999999995</v>
      </c>
      <c r="L65" s="540">
        <v>0</v>
      </c>
      <c r="M65" s="543">
        <v>0</v>
      </c>
      <c r="N65" t="str">
        <f t="shared" si="4"/>
        <v/>
      </c>
      <c r="O65" t="str">
        <f t="shared" si="0"/>
        <v/>
      </c>
      <c r="P65" t="str">
        <f t="shared" si="1"/>
        <v/>
      </c>
      <c r="Q65" t="str">
        <f t="shared" si="2"/>
        <v/>
      </c>
      <c r="R65" s="809" t="str">
        <f t="shared" si="11"/>
        <v/>
      </c>
      <c r="S65" s="800">
        <f t="shared" si="12"/>
        <v>0</v>
      </c>
      <c r="T65" s="801">
        <f t="shared" si="13"/>
        <v>0</v>
      </c>
    </row>
    <row r="66" spans="2:20" ht="19.5" thickBot="1" x14ac:dyDescent="0.3">
      <c r="B66" s="549" t="s">
        <v>873</v>
      </c>
      <c r="C66" s="550"/>
      <c r="D66" s="550"/>
      <c r="E66" s="551"/>
      <c r="F66" s="646">
        <f>SUM(F65,F61,F55,F50,F37,F29,F27,F21,F9)</f>
        <v>42875.338000000003</v>
      </c>
      <c r="G66" s="646">
        <f t="shared" ref="G66:M66" si="33">SUM(G65,G61,G55,G50,G37,G29,G27,G21,G9)</f>
        <v>22850.238000000005</v>
      </c>
      <c r="H66" s="552">
        <f t="shared" si="33"/>
        <v>12966.1</v>
      </c>
      <c r="I66" s="553">
        <f t="shared" si="33"/>
        <v>7059</v>
      </c>
      <c r="J66" s="554">
        <v>52104.365000000005</v>
      </c>
      <c r="K66" s="554">
        <v>9785.0499999999993</v>
      </c>
      <c r="L66" s="554">
        <v>35360.315000000002</v>
      </c>
      <c r="M66" s="555">
        <v>6959</v>
      </c>
      <c r="N66">
        <f t="shared" si="4"/>
        <v>1</v>
      </c>
      <c r="O66">
        <f t="shared" si="0"/>
        <v>1</v>
      </c>
      <c r="P66">
        <f t="shared" si="1"/>
        <v>1</v>
      </c>
      <c r="Q66">
        <f t="shared" si="2"/>
        <v>1</v>
      </c>
      <c r="R66" s="809" t="str">
        <f t="shared" si="11"/>
        <v>*</v>
      </c>
      <c r="S66" s="800">
        <f t="shared" si="12"/>
        <v>-13065.188000000006</v>
      </c>
      <c r="T66" s="801">
        <f t="shared" si="13"/>
        <v>22394.215000000004</v>
      </c>
    </row>
    <row r="67" spans="2:20" ht="20.25" thickTop="1" thickBot="1" x14ac:dyDescent="0.35">
      <c r="B67" s="556"/>
      <c r="C67" s="556"/>
      <c r="D67" s="762"/>
      <c r="E67" s="556"/>
      <c r="F67" s="556"/>
      <c r="G67" s="647"/>
      <c r="H67" s="556"/>
      <c r="I67" s="556"/>
      <c r="J67" s="556"/>
      <c r="K67" s="556"/>
      <c r="L67" s="556"/>
      <c r="M67" s="556"/>
      <c r="N67" t="str">
        <f t="shared" si="4"/>
        <v/>
      </c>
      <c r="O67" t="str">
        <f t="shared" si="0"/>
        <v/>
      </c>
      <c r="P67" t="str">
        <f t="shared" si="1"/>
        <v/>
      </c>
      <c r="Q67" t="str">
        <f t="shared" si="2"/>
        <v/>
      </c>
      <c r="R67" s="809" t="str">
        <f t="shared" si="11"/>
        <v/>
      </c>
      <c r="S67" s="800">
        <f t="shared" si="12"/>
        <v>0</v>
      </c>
      <c r="T67" s="801">
        <f t="shared" si="13"/>
        <v>0</v>
      </c>
    </row>
    <row r="68" spans="2:20" ht="20.25" thickTop="1" thickBot="1" x14ac:dyDescent="0.35">
      <c r="B68" s="556"/>
      <c r="C68" s="556"/>
      <c r="D68" s="762"/>
      <c r="E68" s="556"/>
      <c r="F68" s="802" t="s">
        <v>749</v>
      </c>
      <c r="G68" s="803"/>
      <c r="H68" s="803"/>
      <c r="I68" s="804"/>
      <c r="J68" s="805" t="s">
        <v>750</v>
      </c>
      <c r="K68" s="806"/>
      <c r="L68" s="806"/>
      <c r="M68" s="807"/>
      <c r="N68">
        <f t="shared" si="4"/>
        <v>1</v>
      </c>
      <c r="O68" t="str">
        <f t="shared" si="0"/>
        <v/>
      </c>
      <c r="P68" t="str">
        <f t="shared" si="1"/>
        <v/>
      </c>
      <c r="Q68" t="str">
        <f t="shared" si="2"/>
        <v/>
      </c>
      <c r="R68" s="809" t="str">
        <f t="shared" si="11"/>
        <v>*</v>
      </c>
      <c r="S68" s="800">
        <f t="shared" si="12"/>
        <v>0</v>
      </c>
      <c r="T68" s="801">
        <f t="shared" si="13"/>
        <v>0</v>
      </c>
    </row>
    <row r="69" spans="2:20" ht="57.75" thickTop="1" thickBot="1" x14ac:dyDescent="0.3">
      <c r="B69" s="557" t="s">
        <v>746</v>
      </c>
      <c r="C69" s="558" t="s">
        <v>748</v>
      </c>
      <c r="D69" s="763" t="s">
        <v>747</v>
      </c>
      <c r="E69" s="559" t="s">
        <v>744</v>
      </c>
      <c r="F69" s="524" t="s">
        <v>742</v>
      </c>
      <c r="G69" s="643" t="s">
        <v>19</v>
      </c>
      <c r="H69" s="525" t="s">
        <v>18</v>
      </c>
      <c r="I69" s="526" t="s">
        <v>743</v>
      </c>
      <c r="J69" s="527" t="s">
        <v>742</v>
      </c>
      <c r="K69" s="527" t="s">
        <v>19</v>
      </c>
      <c r="L69" s="527" t="s">
        <v>18</v>
      </c>
      <c r="M69" s="528" t="s">
        <v>743</v>
      </c>
      <c r="N69" t="str">
        <f t="shared" si="4"/>
        <v/>
      </c>
      <c r="O69" t="str">
        <f t="shared" ref="O69:O95" si="34">IF(G69=K69,"",1)</f>
        <v/>
      </c>
      <c r="P69" t="str">
        <f t="shared" ref="P69:P95" si="35">IF(H69=L69,"",1)</f>
        <v/>
      </c>
      <c r="Q69" t="str">
        <f t="shared" ref="Q69:Q95" si="36">IF(I69=M69,"",1)</f>
        <v/>
      </c>
      <c r="R69" s="809" t="str">
        <f t="shared" si="11"/>
        <v/>
      </c>
      <c r="S69" s="800" t="e">
        <f t="shared" si="12"/>
        <v>#VALUE!</v>
      </c>
      <c r="T69" s="801" t="e">
        <f t="shared" si="13"/>
        <v>#VALUE!</v>
      </c>
    </row>
    <row r="70" spans="2:20" ht="19.5" thickBot="1" x14ac:dyDescent="0.3">
      <c r="B70" s="913" t="s">
        <v>721</v>
      </c>
      <c r="C70" s="560">
        <v>3</v>
      </c>
      <c r="D70" s="764" t="s">
        <v>54</v>
      </c>
      <c r="E70" s="561" t="s">
        <v>37</v>
      </c>
      <c r="F70" s="644">
        <f>VLOOKUP($C70,CALC_Funding!$I$6:$J$146,2,FALSE)/1000</f>
        <v>864</v>
      </c>
      <c r="G70" s="644">
        <f>VLOOKUP($C70,CALC_Funding!$AH$6:$AP$146,4,FALSE)/1000</f>
        <v>864</v>
      </c>
      <c r="H70" s="532"/>
      <c r="I70" s="533"/>
      <c r="J70" s="531">
        <v>864</v>
      </c>
      <c r="K70" s="532">
        <v>864</v>
      </c>
      <c r="L70" s="532"/>
      <c r="M70" s="533"/>
      <c r="N70" t="str">
        <f t="shared" ref="N70:N95" si="37">IF(F70=J70,"",1)</f>
        <v/>
      </c>
      <c r="O70" t="str">
        <f t="shared" si="34"/>
        <v/>
      </c>
      <c r="P70" t="str">
        <f t="shared" si="35"/>
        <v/>
      </c>
      <c r="Q70" t="str">
        <f t="shared" si="36"/>
        <v/>
      </c>
      <c r="R70" s="809" t="str">
        <f t="shared" si="11"/>
        <v/>
      </c>
      <c r="S70" s="800">
        <f t="shared" si="12"/>
        <v>0</v>
      </c>
      <c r="T70" s="801">
        <f t="shared" si="13"/>
        <v>0</v>
      </c>
    </row>
    <row r="71" spans="2:20" ht="19.5" thickBot="1" x14ac:dyDescent="0.3">
      <c r="B71" s="904"/>
      <c r="C71" s="560">
        <v>7</v>
      </c>
      <c r="D71" s="764" t="s">
        <v>59</v>
      </c>
      <c r="E71" s="561" t="s">
        <v>37</v>
      </c>
      <c r="F71" s="644">
        <f>VLOOKUP($C71,CALC_Funding!$I$6:$J$146,2,FALSE)/1000</f>
        <v>1200</v>
      </c>
      <c r="G71" s="644">
        <f>VLOOKUP($C71,CALC_Funding!$AH$6:$AP$146,4,FALSE)/1000</f>
        <v>1200</v>
      </c>
      <c r="H71" s="532"/>
      <c r="I71" s="533"/>
      <c r="J71" s="531">
        <v>3475.4243542435429</v>
      </c>
      <c r="K71" s="532">
        <v>3475.4243542435429</v>
      </c>
      <c r="L71" s="532"/>
      <c r="M71" s="533"/>
      <c r="N71">
        <f t="shared" si="37"/>
        <v>1</v>
      </c>
      <c r="O71">
        <f t="shared" si="34"/>
        <v>1</v>
      </c>
      <c r="P71" t="str">
        <f t="shared" si="35"/>
        <v/>
      </c>
      <c r="Q71" t="str">
        <f t="shared" si="36"/>
        <v/>
      </c>
      <c r="R71" s="809" t="str">
        <f t="shared" si="11"/>
        <v>*</v>
      </c>
      <c r="S71" s="800">
        <f t="shared" si="12"/>
        <v>2275.4243542435429</v>
      </c>
      <c r="T71" s="801">
        <f t="shared" si="13"/>
        <v>0</v>
      </c>
    </row>
    <row r="72" spans="2:20" ht="19.5" thickBot="1" x14ac:dyDescent="0.3">
      <c r="B72" s="904"/>
      <c r="C72" s="534">
        <v>138</v>
      </c>
      <c r="D72" s="759" t="s">
        <v>456</v>
      </c>
      <c r="E72" s="562"/>
      <c r="F72" s="644">
        <f>VLOOKUP($C72,CALC_Funding!$I$6:$J$146,2,FALSE)/1000</f>
        <v>-1200</v>
      </c>
      <c r="G72" s="644">
        <f>VLOOKUP($C72,CALC_Funding!$AH$6:$AP$146,4,FALSE)/1000</f>
        <v>-1200</v>
      </c>
      <c r="H72" s="563"/>
      <c r="I72" s="564"/>
      <c r="J72" s="531">
        <v>-3475.4243542435429</v>
      </c>
      <c r="K72" s="563">
        <v>-3475.4243542435429</v>
      </c>
      <c r="L72" s="563"/>
      <c r="M72" s="533"/>
      <c r="N72">
        <f t="shared" si="37"/>
        <v>1</v>
      </c>
      <c r="O72">
        <f t="shared" si="34"/>
        <v>1</v>
      </c>
      <c r="P72" t="str">
        <f t="shared" si="35"/>
        <v/>
      </c>
      <c r="Q72" t="str">
        <f t="shared" si="36"/>
        <v/>
      </c>
      <c r="R72" s="809" t="str">
        <f t="shared" si="11"/>
        <v>*</v>
      </c>
      <c r="S72" s="800">
        <f t="shared" si="12"/>
        <v>-2275.4243542435429</v>
      </c>
      <c r="T72" s="801">
        <f t="shared" si="13"/>
        <v>0</v>
      </c>
    </row>
    <row r="73" spans="2:20" ht="19.5" thickBot="1" x14ac:dyDescent="0.3">
      <c r="B73" s="914"/>
      <c r="C73" s="565"/>
      <c r="D73" s="565"/>
      <c r="E73" s="566"/>
      <c r="F73" s="645">
        <f>SUM(F70:F72)</f>
        <v>864</v>
      </c>
      <c r="G73" s="645">
        <f>SUM(G70:G72)</f>
        <v>864</v>
      </c>
      <c r="H73" s="541">
        <f>SUM(H68:H71)</f>
        <v>0</v>
      </c>
      <c r="I73" s="542">
        <f>SUM(I68:I71)</f>
        <v>0</v>
      </c>
      <c r="J73" s="540">
        <v>864.00000000000045</v>
      </c>
      <c r="K73" s="540">
        <v>864.00000000000045</v>
      </c>
      <c r="L73" s="540">
        <v>0</v>
      </c>
      <c r="M73" s="540">
        <v>0</v>
      </c>
      <c r="N73" t="str">
        <f t="shared" si="37"/>
        <v/>
      </c>
      <c r="O73" t="str">
        <f t="shared" si="34"/>
        <v/>
      </c>
      <c r="P73" t="str">
        <f t="shared" si="35"/>
        <v/>
      </c>
      <c r="Q73" t="str">
        <f t="shared" si="36"/>
        <v/>
      </c>
      <c r="R73" s="809" t="str">
        <f t="shared" si="11"/>
        <v/>
      </c>
      <c r="S73" s="800">
        <f t="shared" si="12"/>
        <v>0</v>
      </c>
      <c r="T73" s="801">
        <f t="shared" si="13"/>
        <v>0</v>
      </c>
    </row>
    <row r="74" spans="2:20" ht="19.5" thickBot="1" x14ac:dyDescent="0.3">
      <c r="B74" s="903" t="s">
        <v>718</v>
      </c>
      <c r="C74" s="560">
        <v>109</v>
      </c>
      <c r="D74" s="764" t="s">
        <v>156</v>
      </c>
      <c r="E74" s="561" t="s">
        <v>37</v>
      </c>
      <c r="F74" s="644">
        <f>VLOOKUP($C74,CALC_Funding!$I$6:$J$146,2,FALSE)/1000</f>
        <v>45</v>
      </c>
      <c r="G74" s="644">
        <f>VLOOKUP($C74,CALC_Funding!$AH$6:$AP$146,4,FALSE)/1000</f>
        <v>0</v>
      </c>
      <c r="H74" s="532"/>
      <c r="I74" s="533">
        <f>+F74-H74-G74</f>
        <v>45</v>
      </c>
      <c r="J74" s="531">
        <v>45</v>
      </c>
      <c r="K74" s="532">
        <v>0</v>
      </c>
      <c r="L74" s="532"/>
      <c r="M74" s="533">
        <v>45</v>
      </c>
      <c r="N74" t="str">
        <f t="shared" si="37"/>
        <v/>
      </c>
      <c r="O74" t="str">
        <f t="shared" si="34"/>
        <v/>
      </c>
      <c r="P74" t="str">
        <f t="shared" si="35"/>
        <v/>
      </c>
      <c r="Q74" t="str">
        <f t="shared" si="36"/>
        <v/>
      </c>
      <c r="R74" s="809" t="str">
        <f t="shared" si="11"/>
        <v/>
      </c>
      <c r="S74" s="800">
        <f t="shared" si="12"/>
        <v>0</v>
      </c>
      <c r="T74" s="801">
        <f t="shared" si="13"/>
        <v>0</v>
      </c>
    </row>
    <row r="75" spans="2:20" ht="19.5" thickBot="1" x14ac:dyDescent="0.3">
      <c r="B75" s="904"/>
      <c r="C75" s="560">
        <v>110</v>
      </c>
      <c r="D75" s="764" t="s">
        <v>156</v>
      </c>
      <c r="E75" s="561" t="s">
        <v>38</v>
      </c>
      <c r="F75" s="644">
        <f>VLOOKUP($C75,CALC_Funding!$I$6:$J$146,2,FALSE)/1000</f>
        <v>20</v>
      </c>
      <c r="G75" s="644">
        <f>VLOOKUP($C75,CALC_Funding!$AH$6:$AP$146,4,FALSE)/1000</f>
        <v>0</v>
      </c>
      <c r="H75" s="532"/>
      <c r="I75" s="533">
        <f t="shared" ref="I75:I82" si="38">+F75-H75-G75</f>
        <v>20</v>
      </c>
      <c r="J75" s="531">
        <v>20</v>
      </c>
      <c r="K75" s="532">
        <v>0</v>
      </c>
      <c r="L75" s="532"/>
      <c r="M75" s="533">
        <v>20</v>
      </c>
      <c r="N75" t="str">
        <f t="shared" si="37"/>
        <v/>
      </c>
      <c r="O75" t="str">
        <f t="shared" si="34"/>
        <v/>
      </c>
      <c r="P75" t="str">
        <f t="shared" si="35"/>
        <v/>
      </c>
      <c r="Q75" t="str">
        <f t="shared" si="36"/>
        <v/>
      </c>
      <c r="R75" s="809" t="str">
        <f t="shared" si="11"/>
        <v/>
      </c>
      <c r="S75" s="800">
        <f t="shared" si="12"/>
        <v>0</v>
      </c>
      <c r="T75" s="801">
        <f t="shared" si="13"/>
        <v>0</v>
      </c>
    </row>
    <row r="76" spans="2:20" ht="19.5" thickBot="1" x14ac:dyDescent="0.3">
      <c r="B76" s="904"/>
      <c r="C76" s="560">
        <v>111</v>
      </c>
      <c r="D76" s="764" t="s">
        <v>15</v>
      </c>
      <c r="E76" s="561" t="s">
        <v>37</v>
      </c>
      <c r="F76" s="644">
        <f>VLOOKUP($C76,CALC_Funding!$I$6:$J$146,2,FALSE)/1000</f>
        <v>68</v>
      </c>
      <c r="G76" s="644">
        <f>VLOOKUP($C76,CALC_Funding!$AH$6:$AP$146,4,FALSE)/1000</f>
        <v>68</v>
      </c>
      <c r="H76" s="532"/>
      <c r="I76" s="533">
        <f t="shared" si="38"/>
        <v>0</v>
      </c>
      <c r="J76" s="531">
        <v>68</v>
      </c>
      <c r="K76" s="532">
        <v>68</v>
      </c>
      <c r="L76" s="532"/>
      <c r="M76" s="533">
        <v>0</v>
      </c>
      <c r="N76" t="str">
        <f t="shared" si="37"/>
        <v/>
      </c>
      <c r="O76" t="str">
        <f t="shared" si="34"/>
        <v/>
      </c>
      <c r="P76" t="str">
        <f t="shared" si="35"/>
        <v/>
      </c>
      <c r="Q76" t="str">
        <f t="shared" si="36"/>
        <v/>
      </c>
      <c r="R76" s="809" t="str">
        <f t="shared" si="11"/>
        <v/>
      </c>
      <c r="S76" s="800">
        <f t="shared" si="12"/>
        <v>0</v>
      </c>
      <c r="T76" s="801">
        <f t="shared" si="13"/>
        <v>0</v>
      </c>
    </row>
    <row r="77" spans="2:20" ht="19.5" thickBot="1" x14ac:dyDescent="0.3">
      <c r="B77" s="904"/>
      <c r="C77" s="560">
        <v>112</v>
      </c>
      <c r="D77" s="764" t="s">
        <v>15</v>
      </c>
      <c r="E77" s="561" t="s">
        <v>38</v>
      </c>
      <c r="F77" s="644">
        <f>VLOOKUP($C77,CALC_Funding!$I$6:$J$146,2,FALSE)/1000</f>
        <v>32</v>
      </c>
      <c r="G77" s="644">
        <f>VLOOKUP($C77,CALC_Funding!$AH$6:$AP$146,4,FALSE)/1000</f>
        <v>32</v>
      </c>
      <c r="H77" s="532"/>
      <c r="I77" s="533">
        <f t="shared" si="38"/>
        <v>0</v>
      </c>
      <c r="J77" s="531">
        <v>32</v>
      </c>
      <c r="K77" s="532">
        <v>32</v>
      </c>
      <c r="L77" s="532"/>
      <c r="M77" s="533">
        <v>0</v>
      </c>
      <c r="N77" t="str">
        <f t="shared" si="37"/>
        <v/>
      </c>
      <c r="O77" t="str">
        <f t="shared" si="34"/>
        <v/>
      </c>
      <c r="P77" t="str">
        <f t="shared" si="35"/>
        <v/>
      </c>
      <c r="Q77" t="str">
        <f t="shared" si="36"/>
        <v/>
      </c>
      <c r="R77" s="809" t="str">
        <f t="shared" ref="R77:R95" si="39">IF(N77=1,"*","")</f>
        <v/>
      </c>
      <c r="S77" s="800">
        <f t="shared" ref="S77:S95" si="40">+K77-G77</f>
        <v>0</v>
      </c>
      <c r="T77" s="801">
        <f t="shared" ref="T77:T95" si="41">+L77-H77</f>
        <v>0</v>
      </c>
    </row>
    <row r="78" spans="2:20" ht="19.5" thickBot="1" x14ac:dyDescent="0.3">
      <c r="B78" s="904"/>
      <c r="C78" s="560">
        <v>113</v>
      </c>
      <c r="D78" s="764" t="s">
        <v>503</v>
      </c>
      <c r="E78" s="561" t="s">
        <v>37</v>
      </c>
      <c r="F78" s="644">
        <f>VLOOKUP($C78,CALC_Funding!$I$6:$J$146,2,FALSE)/1000</f>
        <v>240</v>
      </c>
      <c r="G78" s="644">
        <f>VLOOKUP($C78,CALC_Funding!$AH$6:$AP$146,4,FALSE)/1000</f>
        <v>240</v>
      </c>
      <c r="H78" s="532"/>
      <c r="I78" s="533">
        <f t="shared" si="38"/>
        <v>0</v>
      </c>
      <c r="J78" s="531">
        <v>240</v>
      </c>
      <c r="K78" s="532">
        <v>240</v>
      </c>
      <c r="L78" s="532"/>
      <c r="M78" s="533">
        <v>0</v>
      </c>
      <c r="N78" t="str">
        <f t="shared" si="37"/>
        <v/>
      </c>
      <c r="O78" t="str">
        <f t="shared" si="34"/>
        <v/>
      </c>
      <c r="P78" t="str">
        <f t="shared" si="35"/>
        <v/>
      </c>
      <c r="Q78" t="str">
        <f t="shared" si="36"/>
        <v/>
      </c>
      <c r="R78" s="809" t="str">
        <f t="shared" si="39"/>
        <v/>
      </c>
      <c r="S78" s="800">
        <f t="shared" si="40"/>
        <v>0</v>
      </c>
      <c r="T78" s="801">
        <f t="shared" si="41"/>
        <v>0</v>
      </c>
    </row>
    <row r="79" spans="2:20" ht="19.5" thickBot="1" x14ac:dyDescent="0.3">
      <c r="B79" s="904"/>
      <c r="C79" s="560">
        <v>114</v>
      </c>
      <c r="D79" s="764" t="s">
        <v>502</v>
      </c>
      <c r="E79" s="561" t="s">
        <v>38</v>
      </c>
      <c r="F79" s="644">
        <f>VLOOKUP($C79,CALC_Funding!$I$6:$J$146,2,FALSE)/1000</f>
        <v>120</v>
      </c>
      <c r="G79" s="644">
        <f>VLOOKUP($C79,CALC_Funding!$AH$6:$AP$146,4,FALSE)/1000</f>
        <v>120</v>
      </c>
      <c r="H79" s="532"/>
      <c r="I79" s="533">
        <f t="shared" si="38"/>
        <v>0</v>
      </c>
      <c r="J79" s="531">
        <v>120</v>
      </c>
      <c r="K79" s="532">
        <v>120</v>
      </c>
      <c r="L79" s="532"/>
      <c r="M79" s="533">
        <v>0</v>
      </c>
      <c r="N79" t="str">
        <f t="shared" si="37"/>
        <v/>
      </c>
      <c r="O79" t="str">
        <f t="shared" si="34"/>
        <v/>
      </c>
      <c r="P79" t="str">
        <f t="shared" si="35"/>
        <v/>
      </c>
      <c r="Q79" t="str">
        <f t="shared" si="36"/>
        <v/>
      </c>
      <c r="R79" s="809" t="str">
        <f t="shared" si="39"/>
        <v/>
      </c>
      <c r="S79" s="800">
        <f t="shared" si="40"/>
        <v>0</v>
      </c>
      <c r="T79" s="801">
        <f t="shared" si="41"/>
        <v>0</v>
      </c>
    </row>
    <row r="80" spans="2:20" ht="19.5" thickBot="1" x14ac:dyDescent="0.3">
      <c r="B80" s="904"/>
      <c r="C80" s="560">
        <v>115</v>
      </c>
      <c r="D80" s="764" t="s">
        <v>504</v>
      </c>
      <c r="E80" s="561" t="s">
        <v>38</v>
      </c>
      <c r="F80" s="644">
        <f>VLOOKUP($C80,CALC_Funding!$I$6:$J$146,2,FALSE)/1000</f>
        <v>60</v>
      </c>
      <c r="G80" s="644">
        <f>VLOOKUP($C80,CALC_Funding!$AH$6:$AP$146,4,FALSE)/1000</f>
        <v>60</v>
      </c>
      <c r="H80" s="532"/>
      <c r="I80" s="533">
        <f t="shared" si="38"/>
        <v>0</v>
      </c>
      <c r="J80" s="531">
        <v>60</v>
      </c>
      <c r="K80" s="532">
        <v>60</v>
      </c>
      <c r="L80" s="532"/>
      <c r="M80" s="533">
        <v>0</v>
      </c>
      <c r="N80" t="str">
        <f t="shared" si="37"/>
        <v/>
      </c>
      <c r="O80" t="str">
        <f t="shared" si="34"/>
        <v/>
      </c>
      <c r="P80" t="str">
        <f t="shared" si="35"/>
        <v/>
      </c>
      <c r="Q80" t="str">
        <f t="shared" si="36"/>
        <v/>
      </c>
      <c r="R80" s="809" t="str">
        <f t="shared" si="39"/>
        <v/>
      </c>
      <c r="S80" s="800">
        <f t="shared" si="40"/>
        <v>0</v>
      </c>
      <c r="T80" s="801">
        <f t="shared" si="41"/>
        <v>0</v>
      </c>
    </row>
    <row r="81" spans="2:20" ht="19.5" thickBot="1" x14ac:dyDescent="0.3">
      <c r="B81" s="904"/>
      <c r="C81" s="560">
        <v>118</v>
      </c>
      <c r="D81" s="764" t="s">
        <v>43</v>
      </c>
      <c r="E81" s="561" t="s">
        <v>37</v>
      </c>
      <c r="F81" s="644">
        <f>VLOOKUP($C81,CALC_Funding!$I$6:$J$146,2,FALSE)/1000</f>
        <v>120</v>
      </c>
      <c r="G81" s="644">
        <f>VLOOKUP($C81,CALC_Funding!$AH$6:$AP$146,4,FALSE)/1000</f>
        <v>120</v>
      </c>
      <c r="H81" s="532"/>
      <c r="I81" s="533">
        <f t="shared" si="38"/>
        <v>0</v>
      </c>
      <c r="J81" s="531">
        <v>120</v>
      </c>
      <c r="K81" s="532">
        <v>120</v>
      </c>
      <c r="L81" s="532"/>
      <c r="M81" s="533">
        <v>0</v>
      </c>
      <c r="N81" t="str">
        <f t="shared" si="37"/>
        <v/>
      </c>
      <c r="O81" t="str">
        <f t="shared" si="34"/>
        <v/>
      </c>
      <c r="P81" t="str">
        <f t="shared" si="35"/>
        <v/>
      </c>
      <c r="Q81" t="str">
        <f t="shared" si="36"/>
        <v/>
      </c>
      <c r="R81" s="809" t="str">
        <f t="shared" si="39"/>
        <v/>
      </c>
      <c r="S81" s="800">
        <f t="shared" si="40"/>
        <v>0</v>
      </c>
      <c r="T81" s="801">
        <f t="shared" si="41"/>
        <v>0</v>
      </c>
    </row>
    <row r="82" spans="2:20" ht="19.5" thickBot="1" x14ac:dyDescent="0.3">
      <c r="B82" s="904"/>
      <c r="C82" s="560">
        <v>119</v>
      </c>
      <c r="D82" s="764" t="s">
        <v>43</v>
      </c>
      <c r="E82" s="561" t="s">
        <v>38</v>
      </c>
      <c r="F82" s="644">
        <f>VLOOKUP($C82,CALC_Funding!$I$6:$J$146,2,FALSE)/1000</f>
        <v>120</v>
      </c>
      <c r="G82" s="644">
        <f>VLOOKUP($C82,CALC_Funding!$AH$6:$AP$146,4,FALSE)/1000</f>
        <v>120</v>
      </c>
      <c r="H82" s="532"/>
      <c r="I82" s="533">
        <f t="shared" si="38"/>
        <v>0</v>
      </c>
      <c r="J82" s="531">
        <v>120</v>
      </c>
      <c r="K82" s="532">
        <v>120</v>
      </c>
      <c r="L82" s="532"/>
      <c r="M82" s="533">
        <v>0</v>
      </c>
      <c r="N82" t="str">
        <f t="shared" si="37"/>
        <v/>
      </c>
      <c r="O82" t="str">
        <f t="shared" si="34"/>
        <v/>
      </c>
      <c r="P82" t="str">
        <f t="shared" si="35"/>
        <v/>
      </c>
      <c r="Q82" t="str">
        <f t="shared" si="36"/>
        <v/>
      </c>
      <c r="R82" s="809" t="str">
        <f t="shared" si="39"/>
        <v/>
      </c>
      <c r="S82" s="800">
        <f t="shared" si="40"/>
        <v>0</v>
      </c>
      <c r="T82" s="801">
        <f t="shared" si="41"/>
        <v>0</v>
      </c>
    </row>
    <row r="83" spans="2:20" ht="19.5" thickBot="1" x14ac:dyDescent="0.3">
      <c r="B83" s="914"/>
      <c r="C83" s="565"/>
      <c r="D83" s="565"/>
      <c r="E83" s="566"/>
      <c r="F83" s="645">
        <f t="shared" ref="F83" si="42">SUM(F74:F82)</f>
        <v>825</v>
      </c>
      <c r="G83" s="645">
        <f t="shared" ref="G83:I83" si="43">SUM(G74:G82)</f>
        <v>760</v>
      </c>
      <c r="H83" s="541">
        <f t="shared" si="43"/>
        <v>0</v>
      </c>
      <c r="I83" s="542">
        <f t="shared" si="43"/>
        <v>65</v>
      </c>
      <c r="J83" s="540">
        <v>825</v>
      </c>
      <c r="K83" s="540">
        <v>760</v>
      </c>
      <c r="L83" s="540">
        <v>0</v>
      </c>
      <c r="M83" s="543">
        <v>65</v>
      </c>
      <c r="N83" t="str">
        <f t="shared" si="37"/>
        <v/>
      </c>
      <c r="O83" t="str">
        <f t="shared" si="34"/>
        <v/>
      </c>
      <c r="P83" t="str">
        <f t="shared" si="35"/>
        <v/>
      </c>
      <c r="Q83" t="str">
        <f t="shared" si="36"/>
        <v/>
      </c>
      <c r="R83" s="809" t="str">
        <f t="shared" si="39"/>
        <v/>
      </c>
      <c r="S83" s="800">
        <f t="shared" si="40"/>
        <v>0</v>
      </c>
      <c r="T83" s="801">
        <f t="shared" si="41"/>
        <v>0</v>
      </c>
    </row>
    <row r="84" spans="2:20" ht="19.5" thickBot="1" x14ac:dyDescent="0.3">
      <c r="B84" s="903" t="s">
        <v>722</v>
      </c>
      <c r="C84" s="560">
        <v>124</v>
      </c>
      <c r="D84" s="764" t="s">
        <v>157</v>
      </c>
      <c r="E84" s="561" t="s">
        <v>37</v>
      </c>
      <c r="F84" s="644">
        <f>VLOOKUP($C84,CALC_Funding!$I$6:$J$146,2,FALSE)/1000</f>
        <v>3.1</v>
      </c>
      <c r="G84" s="778">
        <f>VLOOKUP($C84,CALC_Funding!$AH$6:$AP$146,4,FALSE)/1000</f>
        <v>0</v>
      </c>
      <c r="H84" s="775">
        <f>VLOOKUP($C84,CALC_Funding!$AH$6:$AP$146,5,FALSE)/1000</f>
        <v>0</v>
      </c>
      <c r="I84" s="533">
        <v>3</v>
      </c>
      <c r="J84" s="531">
        <v>3.1</v>
      </c>
      <c r="K84" s="532">
        <v>0</v>
      </c>
      <c r="L84" s="532">
        <v>0</v>
      </c>
      <c r="M84" s="533">
        <v>3</v>
      </c>
      <c r="N84" t="str">
        <f t="shared" si="37"/>
        <v/>
      </c>
      <c r="O84" t="str">
        <f t="shared" si="34"/>
        <v/>
      </c>
      <c r="P84" t="str">
        <f t="shared" si="35"/>
        <v/>
      </c>
      <c r="Q84" t="str">
        <f t="shared" si="36"/>
        <v/>
      </c>
      <c r="R84" s="809" t="str">
        <f t="shared" si="39"/>
        <v/>
      </c>
      <c r="S84" s="800">
        <f t="shared" si="40"/>
        <v>0</v>
      </c>
      <c r="T84" s="801">
        <f t="shared" si="41"/>
        <v>0</v>
      </c>
    </row>
    <row r="85" spans="2:20" ht="19.5" thickBot="1" x14ac:dyDescent="0.3">
      <c r="B85" s="904"/>
      <c r="C85" s="560">
        <v>126</v>
      </c>
      <c r="D85" s="764" t="s">
        <v>229</v>
      </c>
      <c r="E85" s="561" t="s">
        <v>37</v>
      </c>
      <c r="F85" s="644">
        <f>VLOOKUP($C85,CALC_Funding!$I$6:$J$146,2,FALSE)/1000</f>
        <v>188.24999999999997</v>
      </c>
      <c r="G85" s="644">
        <f>VLOOKUP($C85,CALC_Funding!$AH$6:$AP$146,4,FALSE)/1000</f>
        <v>0</v>
      </c>
      <c r="H85" s="532">
        <f>VLOOKUP($C85,CALC_Funding!$AH$6:$AP$146,5,FALSE)/1000</f>
        <v>188.24999999999997</v>
      </c>
      <c r="I85" s="533"/>
      <c r="J85" s="531">
        <v>80.375</v>
      </c>
      <c r="K85" s="532">
        <v>0</v>
      </c>
      <c r="L85" s="532">
        <v>80.375</v>
      </c>
      <c r="M85" s="533"/>
      <c r="N85">
        <f t="shared" si="37"/>
        <v>1</v>
      </c>
      <c r="O85" t="str">
        <f t="shared" si="34"/>
        <v/>
      </c>
      <c r="P85">
        <f t="shared" si="35"/>
        <v>1</v>
      </c>
      <c r="Q85" t="str">
        <f t="shared" si="36"/>
        <v/>
      </c>
      <c r="R85" s="809" t="str">
        <f t="shared" si="39"/>
        <v>*</v>
      </c>
      <c r="S85" s="800">
        <f t="shared" si="40"/>
        <v>0</v>
      </c>
      <c r="T85" s="801">
        <f t="shared" si="41"/>
        <v>-107.87499999999997</v>
      </c>
    </row>
    <row r="86" spans="2:20" ht="19.5" thickBot="1" x14ac:dyDescent="0.3">
      <c r="B86" s="904"/>
      <c r="C86" s="560">
        <v>127</v>
      </c>
      <c r="D86" s="764" t="s">
        <v>229</v>
      </c>
      <c r="E86" s="561" t="s">
        <v>38</v>
      </c>
      <c r="F86" s="644">
        <f>VLOOKUP($C86,CALC_Funding!$I$6:$J$146,2,FALSE)/1000</f>
        <v>5.8249999999999993</v>
      </c>
      <c r="G86" s="644">
        <f>VLOOKUP($C86,CALC_Funding!$AH$6:$AP$146,4,FALSE)/1000</f>
        <v>0</v>
      </c>
      <c r="H86" s="532">
        <f>VLOOKUP($C86,CALC_Funding!$AH$6:$AP$146,5,FALSE)/1000</f>
        <v>5.8249999999999993</v>
      </c>
      <c r="I86" s="533"/>
      <c r="J86" s="531">
        <v>1.9375</v>
      </c>
      <c r="K86" s="532">
        <v>0</v>
      </c>
      <c r="L86" s="532">
        <v>1.9375</v>
      </c>
      <c r="M86" s="533"/>
      <c r="N86">
        <f t="shared" si="37"/>
        <v>1</v>
      </c>
      <c r="O86" t="str">
        <f t="shared" si="34"/>
        <v/>
      </c>
      <c r="P86">
        <f t="shared" si="35"/>
        <v>1</v>
      </c>
      <c r="Q86" t="str">
        <f t="shared" si="36"/>
        <v/>
      </c>
      <c r="R86" s="809" t="str">
        <f t="shared" si="39"/>
        <v>*</v>
      </c>
      <c r="S86" s="800">
        <f t="shared" si="40"/>
        <v>0</v>
      </c>
      <c r="T86" s="801">
        <f t="shared" si="41"/>
        <v>-3.8874999999999993</v>
      </c>
    </row>
    <row r="87" spans="2:20" ht="19.5" thickBot="1" x14ac:dyDescent="0.3">
      <c r="B87" s="904"/>
      <c r="C87" s="560">
        <v>128</v>
      </c>
      <c r="D87" s="764" t="s">
        <v>344</v>
      </c>
      <c r="E87" s="561" t="s">
        <v>37</v>
      </c>
      <c r="F87" s="644">
        <f>VLOOKUP($C87,CALC_Funding!$I$6:$J$146,2,FALSE)/1000</f>
        <v>1466.9999999999998</v>
      </c>
      <c r="G87" s="644">
        <f>VLOOKUP($C87,CALC_Funding!$AH$6:$AP$146,4,FALSE)/1000</f>
        <v>1466.9999999999998</v>
      </c>
      <c r="H87" s="532">
        <f>VLOOKUP($C87,CALC_Funding!$AH$6:$AP$146,5,FALSE)/1000</f>
        <v>0</v>
      </c>
      <c r="I87" s="533"/>
      <c r="J87" s="531">
        <v>1833.75</v>
      </c>
      <c r="K87" s="532">
        <v>1833.75</v>
      </c>
      <c r="L87" s="532">
        <v>0</v>
      </c>
      <c r="M87" s="533"/>
      <c r="N87">
        <f t="shared" si="37"/>
        <v>1</v>
      </c>
      <c r="O87">
        <f t="shared" si="34"/>
        <v>1</v>
      </c>
      <c r="P87" t="str">
        <f t="shared" si="35"/>
        <v/>
      </c>
      <c r="Q87" t="str">
        <f t="shared" si="36"/>
        <v/>
      </c>
      <c r="R87" s="809" t="str">
        <f t="shared" si="39"/>
        <v>*</v>
      </c>
      <c r="S87" s="800">
        <f t="shared" si="40"/>
        <v>366.75000000000023</v>
      </c>
      <c r="T87" s="801">
        <f t="shared" si="41"/>
        <v>0</v>
      </c>
    </row>
    <row r="88" spans="2:20" ht="19.5" thickBot="1" x14ac:dyDescent="0.3">
      <c r="B88" s="904"/>
      <c r="C88" s="560">
        <v>129</v>
      </c>
      <c r="D88" s="764" t="s">
        <v>344</v>
      </c>
      <c r="E88" s="561" t="s">
        <v>38</v>
      </c>
      <c r="F88" s="644">
        <f>VLOOKUP($C88,CALC_Funding!$I$6:$J$146,2,FALSE)/1000</f>
        <v>219.99999999999997</v>
      </c>
      <c r="G88" s="772">
        <f>VLOOKUP($C88,CALC_Funding!$AH$6:$AP$146,4,FALSE)/1000</f>
        <v>219.99999999999997</v>
      </c>
      <c r="H88" s="773">
        <f>VLOOKUP($C88,CALC_Funding!$AH$6:$AP$146,5,FALSE)/1000</f>
        <v>0</v>
      </c>
      <c r="I88" s="533"/>
      <c r="J88" s="531">
        <v>275</v>
      </c>
      <c r="K88" s="532">
        <v>275</v>
      </c>
      <c r="L88" s="532">
        <v>0</v>
      </c>
      <c r="M88" s="533"/>
      <c r="N88">
        <f t="shared" si="37"/>
        <v>1</v>
      </c>
      <c r="O88">
        <f t="shared" si="34"/>
        <v>1</v>
      </c>
      <c r="P88" t="str">
        <f t="shared" si="35"/>
        <v/>
      </c>
      <c r="Q88" t="str">
        <f t="shared" si="36"/>
        <v/>
      </c>
      <c r="R88" s="809" t="str">
        <f t="shared" si="39"/>
        <v>*</v>
      </c>
      <c r="S88" s="800">
        <f t="shared" si="40"/>
        <v>55.000000000000028</v>
      </c>
      <c r="T88" s="801">
        <f t="shared" si="41"/>
        <v>0</v>
      </c>
    </row>
    <row r="89" spans="2:20" ht="19.5" thickBot="1" x14ac:dyDescent="0.3">
      <c r="B89" s="914"/>
      <c r="C89" s="565"/>
      <c r="D89" s="565"/>
      <c r="E89" s="566"/>
      <c r="F89" s="645">
        <f t="shared" ref="F89" si="44">SUM(F84:F88)</f>
        <v>1884.1749999999997</v>
      </c>
      <c r="G89" s="645">
        <f t="shared" ref="G89:I89" si="45">SUM(G84:G88)</f>
        <v>1686.9999999999998</v>
      </c>
      <c r="H89" s="541">
        <f t="shared" si="45"/>
        <v>194.07499999999996</v>
      </c>
      <c r="I89" s="542">
        <f t="shared" si="45"/>
        <v>3</v>
      </c>
      <c r="J89" s="540">
        <v>2194.1624999999999</v>
      </c>
      <c r="K89" s="540">
        <v>2108.75</v>
      </c>
      <c r="L89" s="540">
        <v>82.3125</v>
      </c>
      <c r="M89" s="543">
        <v>3</v>
      </c>
      <c r="N89">
        <f t="shared" si="37"/>
        <v>1</v>
      </c>
      <c r="O89">
        <f t="shared" si="34"/>
        <v>1</v>
      </c>
      <c r="P89">
        <f t="shared" si="35"/>
        <v>1</v>
      </c>
      <c r="Q89" t="str">
        <f t="shared" si="36"/>
        <v/>
      </c>
      <c r="R89" s="809" t="str">
        <f t="shared" si="39"/>
        <v>*</v>
      </c>
      <c r="S89" s="800">
        <f t="shared" si="40"/>
        <v>421.75000000000023</v>
      </c>
      <c r="T89" s="801">
        <f t="shared" si="41"/>
        <v>-111.76249999999996</v>
      </c>
    </row>
    <row r="90" spans="2:20" ht="19.5" thickBot="1" x14ac:dyDescent="0.3">
      <c r="B90" s="903" t="s">
        <v>296</v>
      </c>
      <c r="C90" s="560">
        <v>130</v>
      </c>
      <c r="D90" s="764" t="s">
        <v>466</v>
      </c>
      <c r="E90" s="561" t="s">
        <v>37</v>
      </c>
      <c r="F90" s="644">
        <f>VLOOKUP($C90,CALC_Funding!$I$6:$J$146,2,FALSE)/1000</f>
        <v>293.39999999999998</v>
      </c>
      <c r="G90" s="778">
        <f>VLOOKUP($C90,CALC_Funding!$AH$6:$AP$146,4,FALSE)/1000</f>
        <v>293.39999999999998</v>
      </c>
      <c r="H90" s="775">
        <f>VLOOKUP($C90,CALC_Funding!$AH$6:$AP$146,5,FALSE)/1000</f>
        <v>0</v>
      </c>
      <c r="I90" s="533"/>
      <c r="J90" s="531">
        <v>366.74999999999994</v>
      </c>
      <c r="K90" s="532">
        <v>366.74999999999994</v>
      </c>
      <c r="L90" s="532">
        <v>0</v>
      </c>
      <c r="M90" s="533"/>
      <c r="N90">
        <f t="shared" si="37"/>
        <v>1</v>
      </c>
      <c r="O90">
        <f t="shared" si="34"/>
        <v>1</v>
      </c>
      <c r="P90" t="str">
        <f t="shared" si="35"/>
        <v/>
      </c>
      <c r="Q90" t="str">
        <f t="shared" si="36"/>
        <v/>
      </c>
      <c r="R90" s="809" t="str">
        <f t="shared" si="39"/>
        <v>*</v>
      </c>
      <c r="S90" s="800">
        <f t="shared" si="40"/>
        <v>73.349999999999966</v>
      </c>
      <c r="T90" s="801">
        <f t="shared" si="41"/>
        <v>0</v>
      </c>
    </row>
    <row r="91" spans="2:20" ht="19.5" thickBot="1" x14ac:dyDescent="0.3">
      <c r="B91" s="904"/>
      <c r="C91" s="560">
        <v>131</v>
      </c>
      <c r="D91" s="764" t="s">
        <v>466</v>
      </c>
      <c r="E91" s="561" t="s">
        <v>38</v>
      </c>
      <c r="F91" s="644">
        <f>VLOOKUP($C91,CALC_Funding!$I$6:$J$146,2,FALSE)/1000</f>
        <v>44</v>
      </c>
      <c r="G91" s="644">
        <f>VLOOKUP($C91,CALC_Funding!$AH$6:$AP$146,4,FALSE)/1000</f>
        <v>44</v>
      </c>
      <c r="H91" s="532">
        <f>VLOOKUP($C91,CALC_Funding!$AH$6:$AP$146,5,FALSE)/1000</f>
        <v>0</v>
      </c>
      <c r="I91" s="533"/>
      <c r="J91" s="531">
        <v>54.999999999999993</v>
      </c>
      <c r="K91" s="532">
        <v>54.999999999999993</v>
      </c>
      <c r="L91" s="532">
        <v>0</v>
      </c>
      <c r="M91" s="533"/>
      <c r="N91">
        <f t="shared" si="37"/>
        <v>1</v>
      </c>
      <c r="O91">
        <f t="shared" si="34"/>
        <v>1</v>
      </c>
      <c r="P91" t="str">
        <f t="shared" si="35"/>
        <v/>
      </c>
      <c r="Q91" t="str">
        <f t="shared" si="36"/>
        <v/>
      </c>
      <c r="R91" s="809" t="str">
        <f t="shared" si="39"/>
        <v>*</v>
      </c>
      <c r="S91" s="800">
        <f t="shared" si="40"/>
        <v>10.999999999999993</v>
      </c>
      <c r="T91" s="801">
        <f t="shared" si="41"/>
        <v>0</v>
      </c>
    </row>
    <row r="92" spans="2:20" ht="19.5" thickBot="1" x14ac:dyDescent="0.3">
      <c r="B92" s="904"/>
      <c r="C92" s="707">
        <v>137.1</v>
      </c>
      <c r="D92" s="765" t="s">
        <v>828</v>
      </c>
      <c r="E92" s="561" t="s">
        <v>37</v>
      </c>
      <c r="F92" s="644">
        <f>VLOOKUP($C92,CALC_Funding!$I$6:$J$146,2,FALSE)/1000</f>
        <v>1650.2763200000013</v>
      </c>
      <c r="G92" s="644">
        <f>VLOOKUP($C92,CALC_Funding!$AH$6:$AP$146,4,FALSE)/1000</f>
        <v>1650.2763200000013</v>
      </c>
      <c r="H92" s="532">
        <f>VLOOKUP($C92,CALC_Funding!$AH$6:$AP$146,5,FALSE)/1000</f>
        <v>0</v>
      </c>
      <c r="I92" s="533"/>
      <c r="J92" s="531">
        <v>2676.8064399999994</v>
      </c>
      <c r="K92" s="532">
        <v>0</v>
      </c>
      <c r="L92" s="532">
        <v>2676.8064399999994</v>
      </c>
      <c r="M92" s="533"/>
      <c r="N92">
        <f t="shared" ref="N92" si="46">IF(F92=J92,"",1)</f>
        <v>1</v>
      </c>
      <c r="O92">
        <f t="shared" ref="O92" si="47">IF(G92=K92,"",1)</f>
        <v>1</v>
      </c>
      <c r="P92">
        <f t="shared" ref="P92" si="48">IF(H92=L92,"",1)</f>
        <v>1</v>
      </c>
      <c r="Q92" t="str">
        <f t="shared" ref="Q92" si="49">IF(I92=M92,"",1)</f>
        <v/>
      </c>
      <c r="R92" s="809" t="str">
        <f t="shared" si="39"/>
        <v>*</v>
      </c>
      <c r="S92" s="800">
        <f t="shared" si="40"/>
        <v>-1650.2763200000013</v>
      </c>
      <c r="T92" s="801">
        <f t="shared" si="41"/>
        <v>2676.8064399999994</v>
      </c>
    </row>
    <row r="93" spans="2:20" ht="19.5" thickBot="1" x14ac:dyDescent="0.3">
      <c r="B93" s="904"/>
      <c r="C93" s="707">
        <v>137.19999999999999</v>
      </c>
      <c r="D93" s="765" t="s">
        <v>830</v>
      </c>
      <c r="E93" s="561" t="s">
        <v>37</v>
      </c>
      <c r="F93" s="644">
        <f>VLOOKUP($C93,CALC_Funding!$I$6:$J$146,2,FALSE)/1000</f>
        <v>1885.2750000000003</v>
      </c>
      <c r="G93" s="772">
        <f>VLOOKUP($C93,CALC_Funding!$AH$6:$AP$146,4,FALSE)/1000</f>
        <v>0</v>
      </c>
      <c r="H93" s="773">
        <f>VLOOKUP($C93,CALC_Funding!$AH$6:$AP$146,5,FALSE)/1000</f>
        <v>1885.2750000000003</v>
      </c>
      <c r="I93" s="533"/>
      <c r="J93" s="531">
        <v>4543.5950000000012</v>
      </c>
      <c r="K93" s="532">
        <v>0</v>
      </c>
      <c r="L93" s="532">
        <v>4543.5950000000012</v>
      </c>
      <c r="M93" s="533"/>
      <c r="N93">
        <f t="shared" si="37"/>
        <v>1</v>
      </c>
      <c r="O93" t="str">
        <f t="shared" si="34"/>
        <v/>
      </c>
      <c r="P93">
        <f t="shared" si="35"/>
        <v>1</v>
      </c>
      <c r="Q93" t="str">
        <f t="shared" si="36"/>
        <v/>
      </c>
      <c r="R93" s="809" t="str">
        <f t="shared" si="39"/>
        <v>*</v>
      </c>
      <c r="S93" s="800">
        <f t="shared" si="40"/>
        <v>0</v>
      </c>
      <c r="T93" s="801">
        <f t="shared" si="41"/>
        <v>2658.3200000000006</v>
      </c>
    </row>
    <row r="94" spans="2:20" ht="19.5" thickBot="1" x14ac:dyDescent="0.3">
      <c r="B94" s="905"/>
      <c r="C94" s="565"/>
      <c r="D94" s="565"/>
      <c r="E94" s="566"/>
      <c r="F94" s="645">
        <f t="shared" ref="F94" si="50">SUM(F90:F93)</f>
        <v>3872.9513200000019</v>
      </c>
      <c r="G94" s="645">
        <f t="shared" ref="G94:I94" si="51">SUM(G90:G93)</f>
        <v>1987.6763200000014</v>
      </c>
      <c r="H94" s="541">
        <f t="shared" si="51"/>
        <v>1885.2750000000003</v>
      </c>
      <c r="I94" s="542">
        <f t="shared" si="51"/>
        <v>0</v>
      </c>
      <c r="J94" s="540">
        <v>7642.1514400000005</v>
      </c>
      <c r="K94" s="540">
        <v>421.74999999999994</v>
      </c>
      <c r="L94" s="540">
        <v>7220.4014400000005</v>
      </c>
      <c r="M94" s="543">
        <v>0</v>
      </c>
      <c r="N94">
        <f t="shared" si="37"/>
        <v>1</v>
      </c>
      <c r="O94">
        <f t="shared" si="34"/>
        <v>1</v>
      </c>
      <c r="P94">
        <f t="shared" si="35"/>
        <v>1</v>
      </c>
      <c r="Q94" t="str">
        <f t="shared" si="36"/>
        <v/>
      </c>
      <c r="R94" s="809" t="str">
        <f t="shared" si="39"/>
        <v>*</v>
      </c>
      <c r="S94" s="800">
        <f t="shared" si="40"/>
        <v>-1565.9263200000014</v>
      </c>
      <c r="T94" s="801">
        <f t="shared" si="41"/>
        <v>5335.12644</v>
      </c>
    </row>
    <row r="95" spans="2:20" ht="19.5" thickBot="1" x14ac:dyDescent="0.3">
      <c r="B95" s="567" t="s">
        <v>874</v>
      </c>
      <c r="C95" s="568"/>
      <c r="D95" s="568"/>
      <c r="E95" s="569"/>
      <c r="F95" s="646">
        <f t="shared" ref="F95" si="52">SUM(F94,F89,F83,F73)</f>
        <v>7446.1263200000012</v>
      </c>
      <c r="G95" s="646">
        <f t="shared" ref="G95:I95" si="53">SUM(G94,G89,G83,G73)</f>
        <v>5298.6763200000014</v>
      </c>
      <c r="H95" s="552">
        <f t="shared" si="53"/>
        <v>2079.3500000000004</v>
      </c>
      <c r="I95" s="553">
        <f t="shared" si="53"/>
        <v>68</v>
      </c>
      <c r="J95" s="554">
        <v>11525.31394</v>
      </c>
      <c r="K95" s="554">
        <v>4154.5</v>
      </c>
      <c r="L95" s="554">
        <v>7302.7139400000005</v>
      </c>
      <c r="M95" s="555">
        <v>68</v>
      </c>
      <c r="N95">
        <f t="shared" si="37"/>
        <v>1</v>
      </c>
      <c r="O95">
        <f t="shared" si="34"/>
        <v>1</v>
      </c>
      <c r="P95">
        <f t="shared" si="35"/>
        <v>1</v>
      </c>
      <c r="Q95" t="str">
        <f t="shared" si="36"/>
        <v/>
      </c>
      <c r="R95" s="809" t="str">
        <f t="shared" si="39"/>
        <v>*</v>
      </c>
      <c r="S95" s="800">
        <f t="shared" si="40"/>
        <v>-1144.1763200000014</v>
      </c>
      <c r="T95" s="801">
        <f t="shared" si="41"/>
        <v>5223.3639400000002</v>
      </c>
    </row>
    <row r="96" spans="2:20" ht="16.5" thickTop="1" thickBot="1" x14ac:dyDescent="0.3">
      <c r="R96"/>
    </row>
    <row r="97" spans="5:18" ht="19.5" thickBot="1" x14ac:dyDescent="0.3">
      <c r="E97" t="s">
        <v>729</v>
      </c>
      <c r="F97" s="646">
        <f>+F66</f>
        <v>42875.338000000003</v>
      </c>
      <c r="G97" s="646">
        <f t="shared" ref="G97:M97" si="54">+G66</f>
        <v>22850.238000000005</v>
      </c>
      <c r="H97" s="646">
        <f t="shared" si="54"/>
        <v>12966.1</v>
      </c>
      <c r="I97" s="646">
        <f t="shared" si="54"/>
        <v>7059</v>
      </c>
      <c r="J97" s="554">
        <v>52104.365000000005</v>
      </c>
      <c r="K97" s="554">
        <v>9785.0499999999993</v>
      </c>
      <c r="L97" s="554">
        <v>35360.315000000002</v>
      </c>
      <c r="M97" s="555">
        <v>6959</v>
      </c>
      <c r="R97"/>
    </row>
    <row r="98" spans="5:18" ht="20.25" thickTop="1" thickBot="1" x14ac:dyDescent="0.3">
      <c r="E98" t="s">
        <v>730</v>
      </c>
      <c r="F98" s="646">
        <f>+F95</f>
        <v>7446.1263200000012</v>
      </c>
      <c r="G98" s="646">
        <f t="shared" ref="G98:M98" si="55">+G95</f>
        <v>5298.6763200000014</v>
      </c>
      <c r="H98" s="646">
        <f t="shared" si="55"/>
        <v>2079.3500000000004</v>
      </c>
      <c r="I98" s="646">
        <f t="shared" si="55"/>
        <v>68</v>
      </c>
      <c r="J98" s="554">
        <v>11525.31394</v>
      </c>
      <c r="K98" s="554">
        <v>4154.5</v>
      </c>
      <c r="L98" s="554">
        <v>7302.7139400000005</v>
      </c>
      <c r="M98" s="555">
        <v>68</v>
      </c>
      <c r="R98"/>
    </row>
    <row r="99" spans="5:18" ht="20.25" thickTop="1" thickBot="1" x14ac:dyDescent="0.3">
      <c r="E99" t="s">
        <v>711</v>
      </c>
      <c r="F99" s="646">
        <f>SUM(F97:F98)</f>
        <v>50321.464320000006</v>
      </c>
      <c r="G99" s="646">
        <f t="shared" ref="G99:M99" si="56">SUM(G97:G98)</f>
        <v>28148.914320000007</v>
      </c>
      <c r="H99" s="646">
        <f t="shared" si="56"/>
        <v>15045.45</v>
      </c>
      <c r="I99" s="646">
        <f t="shared" si="56"/>
        <v>7127</v>
      </c>
      <c r="J99" s="554">
        <v>63629.678940000005</v>
      </c>
      <c r="K99" s="554">
        <v>13939.55</v>
      </c>
      <c r="L99" s="554">
        <v>42663.028940000004</v>
      </c>
      <c r="M99" s="555">
        <v>7027</v>
      </c>
      <c r="R99"/>
    </row>
    <row r="100" spans="5:18" ht="15.75" thickTop="1" x14ac:dyDescent="0.25"/>
  </sheetData>
  <mergeCells count="21">
    <mergeCell ref="T2:T3"/>
    <mergeCell ref="R2:R3"/>
    <mergeCell ref="S2:S3"/>
    <mergeCell ref="N2:Q2"/>
    <mergeCell ref="B84:B89"/>
    <mergeCell ref="B30:B37"/>
    <mergeCell ref="B4:B9"/>
    <mergeCell ref="B10:B21"/>
    <mergeCell ref="B22:B27"/>
    <mergeCell ref="B28:B29"/>
    <mergeCell ref="E2:E3"/>
    <mergeCell ref="B2:B3"/>
    <mergeCell ref="C2:C3"/>
    <mergeCell ref="D2:D3"/>
    <mergeCell ref="B90:B94"/>
    <mergeCell ref="B38:B50"/>
    <mergeCell ref="B51:B55"/>
    <mergeCell ref="B57:B61"/>
    <mergeCell ref="B62:B65"/>
    <mergeCell ref="B70:B73"/>
    <mergeCell ref="B74:B83"/>
  </mergeCells>
  <conditionalFormatting sqref="S1:T1048576">
    <cfRule type="cellIs" dxfId="7" priority="1" operator="lessThan">
      <formula>0</formula>
    </cfRule>
    <cfRule type="cellIs" dxfId="6" priority="2" operator="greaterThan">
      <formula>0</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5050"/>
    <pageSetUpPr fitToPage="1"/>
  </sheetPr>
  <dimension ref="A1:L22"/>
  <sheetViews>
    <sheetView zoomScale="85" zoomScaleNormal="85" workbookViewId="0"/>
  </sheetViews>
  <sheetFormatPr defaultRowHeight="15" x14ac:dyDescent="0.25"/>
  <cols>
    <col min="1" max="1" width="17.7109375" customWidth="1"/>
    <col min="2" max="2" width="68.140625" customWidth="1"/>
    <col min="4" max="4" width="6.28515625" customWidth="1"/>
    <col min="5" max="5" width="4.5703125" customWidth="1"/>
    <col min="6" max="6" width="15.5703125" customWidth="1"/>
    <col min="7" max="8" width="11.85546875" customWidth="1"/>
    <col min="9" max="9" width="17.85546875" customWidth="1"/>
    <col min="10" max="10" width="13.28515625" customWidth="1"/>
    <col min="11" max="11" width="32.28515625" customWidth="1"/>
    <col min="12" max="12" width="13.28515625" customWidth="1"/>
  </cols>
  <sheetData>
    <row r="1" spans="1:12" ht="15.75" thickBot="1" x14ac:dyDescent="0.3">
      <c r="B1" s="712" t="str">
        <f>CALC_Funding!B1</f>
        <v>Cordon 3_CAZ C</v>
      </c>
    </row>
    <row r="2" spans="1:12" ht="45.75" customHeight="1" thickBot="1" x14ac:dyDescent="0.3">
      <c r="A2" s="595" t="s">
        <v>775</v>
      </c>
      <c r="B2" s="595" t="s">
        <v>776</v>
      </c>
      <c r="C2" s="595" t="s">
        <v>777</v>
      </c>
      <c r="D2" s="595" t="s">
        <v>178</v>
      </c>
      <c r="E2" s="596" t="s">
        <v>778</v>
      </c>
      <c r="F2" s="597" t="s">
        <v>779</v>
      </c>
      <c r="G2" s="598" t="s">
        <v>780</v>
      </c>
      <c r="H2" s="598" t="s">
        <v>831</v>
      </c>
      <c r="I2" s="598" t="s">
        <v>711</v>
      </c>
      <c r="J2" s="599" t="s">
        <v>781</v>
      </c>
      <c r="K2" s="599" t="s">
        <v>782</v>
      </c>
      <c r="L2" s="600" t="s">
        <v>783</v>
      </c>
    </row>
    <row r="3" spans="1:12" x14ac:dyDescent="0.25">
      <c r="A3" s="928" t="s">
        <v>784</v>
      </c>
      <c r="B3" s="601" t="s">
        <v>785</v>
      </c>
      <c r="C3" s="602">
        <f>I3</f>
        <v>6385750</v>
      </c>
      <c r="D3" s="601"/>
      <c r="E3" s="603"/>
      <c r="F3" s="708">
        <f>CALC_Funding!AK141</f>
        <v>0</v>
      </c>
      <c r="G3" s="708">
        <f>CALC_Funding!AL141</f>
        <v>6385750</v>
      </c>
      <c r="H3" s="708">
        <f>CALC_Funding!AM141</f>
        <v>0</v>
      </c>
      <c r="I3" s="604">
        <f>SUM(F3:H3)</f>
        <v>6385750</v>
      </c>
      <c r="J3" s="605">
        <f>+CALC_Current_option!C167</f>
        <v>8200</v>
      </c>
      <c r="K3" s="605" t="s">
        <v>786</v>
      </c>
      <c r="L3" s="606">
        <f>+I3/J3</f>
        <v>778.75</v>
      </c>
    </row>
    <row r="4" spans="1:12" ht="15.75" thickBot="1" x14ac:dyDescent="0.3">
      <c r="A4" s="929"/>
      <c r="B4" s="607" t="s">
        <v>787</v>
      </c>
      <c r="C4" s="608"/>
      <c r="D4" s="609"/>
      <c r="E4" s="610"/>
      <c r="F4" s="611"/>
      <c r="G4" s="612"/>
      <c r="H4" s="612"/>
      <c r="I4" s="613"/>
      <c r="J4" s="614"/>
      <c r="K4" s="614"/>
      <c r="L4" s="615"/>
    </row>
    <row r="5" spans="1:12" ht="15.75" thickBot="1" x14ac:dyDescent="0.3">
      <c r="A5" s="930"/>
      <c r="B5" s="616" t="s">
        <v>788</v>
      </c>
      <c r="C5" s="617">
        <f>I5</f>
        <v>2050000</v>
      </c>
      <c r="D5" s="617">
        <f>SUM(C3:C5)</f>
        <v>8435750</v>
      </c>
      <c r="E5" s="618">
        <f>+D5/$C$21</f>
        <v>0.2705844148637489</v>
      </c>
      <c r="F5" s="710">
        <f>CALC_Funding!AK63</f>
        <v>0</v>
      </c>
      <c r="G5" s="710">
        <f>CALC_Funding!AL63</f>
        <v>2050000</v>
      </c>
      <c r="H5" s="710">
        <f>CALC_Funding!AM63</f>
        <v>0</v>
      </c>
      <c r="I5" s="604">
        <f>SUM(F5:H5)</f>
        <v>2050000</v>
      </c>
      <c r="J5" s="709">
        <f>+J3*CALC_Current_option!C182</f>
        <v>2050</v>
      </c>
      <c r="K5" s="619" t="s">
        <v>789</v>
      </c>
      <c r="L5" s="620">
        <f>+I5/J5</f>
        <v>1000</v>
      </c>
    </row>
    <row r="6" spans="1:12" ht="15.75" thickBot="1" x14ac:dyDescent="0.3">
      <c r="A6" s="621" t="s">
        <v>790</v>
      </c>
      <c r="B6" s="622" t="s">
        <v>791</v>
      </c>
      <c r="C6" s="602">
        <f>I6</f>
        <v>2471000</v>
      </c>
      <c r="D6" s="623">
        <f>SUM(C6)</f>
        <v>2471000</v>
      </c>
      <c r="E6" s="624">
        <f>+D6/$C$21</f>
        <v>7.9259590330240173E-2</v>
      </c>
      <c r="F6" s="711">
        <f>CALC_Funding!AK142</f>
        <v>0</v>
      </c>
      <c r="G6" s="711">
        <f>CALC_Funding!AL142</f>
        <v>2471000</v>
      </c>
      <c r="H6" s="711">
        <f>CALC_Funding!AM142</f>
        <v>0</v>
      </c>
      <c r="I6" s="604">
        <f>SUM(F6:H6)</f>
        <v>2471000</v>
      </c>
      <c r="J6" s="626">
        <f>+(CALC_Current_option!C190*CALC_Current_option!C194)+(CALC_Current_option!D190*CALC_Current_option!D194)</f>
        <v>480</v>
      </c>
      <c r="K6" s="626" t="s">
        <v>792</v>
      </c>
      <c r="L6" s="627">
        <f>+I6/J6</f>
        <v>5147.916666666667</v>
      </c>
    </row>
    <row r="7" spans="1:12" ht="15" customHeight="1" x14ac:dyDescent="0.25">
      <c r="A7" s="928" t="s">
        <v>793</v>
      </c>
      <c r="B7" s="601" t="s">
        <v>794</v>
      </c>
      <c r="C7" s="602">
        <f>I7</f>
        <v>227850.00000000003</v>
      </c>
      <c r="D7" s="601"/>
      <c r="E7" s="603"/>
      <c r="F7" s="708">
        <f>CALC_Funding!AK140</f>
        <v>0</v>
      </c>
      <c r="G7" s="708">
        <f>CALC_Funding!AL140</f>
        <v>227850.00000000003</v>
      </c>
      <c r="H7" s="708">
        <f>CALC_Funding!AM140</f>
        <v>0</v>
      </c>
      <c r="I7" s="604">
        <f>SUM(F7:H7)</f>
        <v>227850.00000000003</v>
      </c>
      <c r="J7" s="605">
        <f>+CALC_Current_option!C152</f>
        <v>31</v>
      </c>
      <c r="K7" s="605" t="s">
        <v>795</v>
      </c>
      <c r="L7" s="606">
        <f>+I7/J7</f>
        <v>7350.0000000000009</v>
      </c>
    </row>
    <row r="8" spans="1:12" ht="15.75" thickBot="1" x14ac:dyDescent="0.3">
      <c r="A8" s="929"/>
      <c r="B8" s="607" t="s">
        <v>796</v>
      </c>
      <c r="C8" s="628"/>
      <c r="D8" s="609"/>
      <c r="E8" s="610"/>
      <c r="F8" s="611"/>
      <c r="G8" s="612"/>
      <c r="H8" s="612"/>
      <c r="I8" s="613"/>
      <c r="J8" s="614"/>
      <c r="K8" s="614"/>
      <c r="L8" s="615"/>
    </row>
    <row r="9" spans="1:12" x14ac:dyDescent="0.25">
      <c r="A9" s="929"/>
      <c r="B9" s="609" t="s">
        <v>797</v>
      </c>
      <c r="C9" s="608">
        <f>I9</f>
        <v>3918000</v>
      </c>
      <c r="D9" s="609"/>
      <c r="E9" s="610"/>
      <c r="F9" s="713">
        <f>(CALC_Funding!AK47+CALC_Funding!AK49)</f>
        <v>918000</v>
      </c>
      <c r="G9" s="713">
        <f>(CALC_Funding!AL47+CALC_Funding!AL49)</f>
        <v>0</v>
      </c>
      <c r="H9" s="713">
        <f>(CALC_Funding!AM47+CALC_Funding!AM49)</f>
        <v>3000000</v>
      </c>
      <c r="I9" s="604">
        <f>SUM(F9:H9)</f>
        <v>3918000</v>
      </c>
      <c r="J9" s="614">
        <f>+CALC_Current_option!C147+CALC_Current_option!C150</f>
        <v>263</v>
      </c>
      <c r="K9" s="614" t="s">
        <v>798</v>
      </c>
      <c r="L9" s="615">
        <f>+I9/J9</f>
        <v>14897.338403041826</v>
      </c>
    </row>
    <row r="10" spans="1:12" ht="15.75" thickBot="1" x14ac:dyDescent="0.3">
      <c r="A10" s="929"/>
      <c r="B10" s="607" t="s">
        <v>796</v>
      </c>
      <c r="C10" s="628"/>
      <c r="D10" s="609"/>
      <c r="E10" s="610"/>
      <c r="F10" s="611"/>
      <c r="G10" s="612"/>
      <c r="H10" s="612"/>
      <c r="I10" s="613"/>
      <c r="J10" s="614"/>
      <c r="K10" s="614"/>
      <c r="L10" s="615"/>
    </row>
    <row r="11" spans="1:12" ht="15.75" thickBot="1" x14ac:dyDescent="0.3">
      <c r="A11" s="930"/>
      <c r="B11" s="616" t="s">
        <v>844</v>
      </c>
      <c r="C11" s="617">
        <f>I11</f>
        <v>558000</v>
      </c>
      <c r="D11" s="617">
        <f>SUM(C7:C11)</f>
        <v>4703850</v>
      </c>
      <c r="E11" s="618">
        <f>+D11/$C$21</f>
        <v>0.15088030108251729</v>
      </c>
      <c r="F11" s="710">
        <f>CALC_Funding!AK51</f>
        <v>558000</v>
      </c>
      <c r="G11" s="710">
        <f>CALC_Funding!AL51</f>
        <v>0</v>
      </c>
      <c r="H11" s="710">
        <f>CALC_Funding!AM51</f>
        <v>0</v>
      </c>
      <c r="I11" s="604">
        <f>SUM(F11:H11)</f>
        <v>558000</v>
      </c>
      <c r="J11" s="619">
        <f>+CALC_Current_option!C152</f>
        <v>31</v>
      </c>
      <c r="K11" s="619" t="s">
        <v>795</v>
      </c>
      <c r="L11" s="620">
        <f>+I11/J11</f>
        <v>18000</v>
      </c>
    </row>
    <row r="12" spans="1:12" ht="15" customHeight="1" x14ac:dyDescent="0.25">
      <c r="A12" s="931" t="s">
        <v>838</v>
      </c>
      <c r="B12" s="601" t="s">
        <v>799</v>
      </c>
      <c r="C12" s="602">
        <f>I12</f>
        <v>5578650.0000000019</v>
      </c>
      <c r="D12" s="602"/>
      <c r="E12" s="603"/>
      <c r="F12" s="714">
        <f>CALC_Funding!AK139*(CALC_Current_option!$D$122+CALC_Current_option!$E$122)</f>
        <v>5578650.0000000019</v>
      </c>
      <c r="G12" s="714">
        <f>CALC_Funding!AL139*(CALC_Current_option!$D$122+CALC_Current_option!$E$122)</f>
        <v>0</v>
      </c>
      <c r="H12" s="714">
        <f>CALC_Funding!AM139*(CALC_Current_option!$D$122+CALC_Current_option!$E$122)</f>
        <v>0</v>
      </c>
      <c r="I12" s="604">
        <f>SUM(F12:H12)</f>
        <v>5578650.0000000019</v>
      </c>
      <c r="J12" s="629">
        <f>+CALC_Current_option!D92</f>
        <v>630</v>
      </c>
      <c r="K12" s="629" t="s">
        <v>800</v>
      </c>
      <c r="L12" s="606">
        <f>+I12/J12</f>
        <v>8855.0000000000036</v>
      </c>
    </row>
    <row r="13" spans="1:12" ht="15.75" thickBot="1" x14ac:dyDescent="0.3">
      <c r="A13" s="932"/>
      <c r="B13" s="607" t="s">
        <v>796</v>
      </c>
      <c r="C13" s="608"/>
      <c r="D13" s="608"/>
      <c r="E13" s="610"/>
      <c r="F13" s="613"/>
      <c r="G13" s="612"/>
      <c r="H13" s="612"/>
      <c r="I13" s="613"/>
      <c r="J13" s="630"/>
      <c r="K13" s="630"/>
      <c r="L13" s="615"/>
    </row>
    <row r="14" spans="1:12" x14ac:dyDescent="0.25">
      <c r="A14" s="932"/>
      <c r="B14" s="609" t="s">
        <v>801</v>
      </c>
      <c r="C14" s="608">
        <f>I14</f>
        <v>1400000</v>
      </c>
      <c r="D14" s="608"/>
      <c r="E14" s="610"/>
      <c r="F14" s="715">
        <f>+CALC_Funding!AK31</f>
        <v>1400000</v>
      </c>
      <c r="G14" s="715">
        <f>+CALC_Funding!AL31</f>
        <v>0</v>
      </c>
      <c r="H14" s="715">
        <f>+CALC_Funding!AM31</f>
        <v>0</v>
      </c>
      <c r="I14" s="604">
        <f>SUM(F14:H14)</f>
        <v>1400000</v>
      </c>
      <c r="J14" s="630">
        <f>+CALC_Current_option!C92</f>
        <v>140</v>
      </c>
      <c r="K14" s="630" t="s">
        <v>802</v>
      </c>
      <c r="L14" s="615">
        <f>+I14/J14</f>
        <v>10000</v>
      </c>
    </row>
    <row r="15" spans="1:12" ht="15.75" thickBot="1" x14ac:dyDescent="0.3">
      <c r="A15" s="932"/>
      <c r="B15" s="607" t="s">
        <v>803</v>
      </c>
      <c r="C15" s="608"/>
      <c r="D15" s="608"/>
      <c r="E15" s="610"/>
      <c r="F15" s="631"/>
      <c r="G15" s="632"/>
      <c r="H15" s="632"/>
      <c r="I15" s="633"/>
      <c r="J15" s="634"/>
      <c r="K15" s="634"/>
      <c r="L15" s="635"/>
    </row>
    <row r="16" spans="1:12" ht="15.75" thickBot="1" x14ac:dyDescent="0.3">
      <c r="A16" s="933"/>
      <c r="B16" s="616" t="s">
        <v>804</v>
      </c>
      <c r="C16" s="617">
        <f>I16</f>
        <v>770000</v>
      </c>
      <c r="D16" s="617">
        <f>SUM(C12:C16)</f>
        <v>7748650.0000000019</v>
      </c>
      <c r="E16" s="618">
        <f>+D16/$C$21</f>
        <v>0.24854505245342598</v>
      </c>
      <c r="F16" s="720">
        <f>CALC_Funding!AK41*CALC_Current_option!$F$127</f>
        <v>0</v>
      </c>
      <c r="G16" s="720">
        <f>CALC_Funding!AL41*CALC_Current_option!$F$127</f>
        <v>770000</v>
      </c>
      <c r="H16" s="720">
        <f>CALC_Funding!AM41*CALC_Current_option!$F$127</f>
        <v>0</v>
      </c>
      <c r="I16" s="604">
        <f>SUM(F16:H16)</f>
        <v>770000</v>
      </c>
      <c r="J16" s="636">
        <f>+CALC_Current_option!D127</f>
        <v>770</v>
      </c>
      <c r="K16" s="636" t="s">
        <v>805</v>
      </c>
      <c r="L16" s="637">
        <f>+I16/J16</f>
        <v>1000</v>
      </c>
    </row>
    <row r="17" spans="1:12" ht="15" customHeight="1" x14ac:dyDescent="0.25">
      <c r="A17" s="931" t="s">
        <v>235</v>
      </c>
      <c r="B17" s="601" t="s">
        <v>806</v>
      </c>
      <c r="C17" s="602">
        <f>I17</f>
        <v>6871788.0000000019</v>
      </c>
      <c r="D17" s="601"/>
      <c r="E17" s="603"/>
      <c r="F17" s="724">
        <f>CALC_Funding!AK139*(CALC_Current_option!$F$122+CALC_Current_option!$G$122)</f>
        <v>6871788.0000000019</v>
      </c>
      <c r="G17" s="724">
        <f>CALC_Funding!AL139*(CALC_Current_option!$F$122+CALC_Current_option!$G$122)</f>
        <v>0</v>
      </c>
      <c r="H17" s="724">
        <f>CALC_Funding!AM139*(CALC_Current_option!$F$122+CALC_Current_option!$G$122)</f>
        <v>0</v>
      </c>
      <c r="I17" s="604">
        <f>SUM(F17:H17)</f>
        <v>6871788.0000000019</v>
      </c>
      <c r="J17" s="629">
        <f>+CALC_Current_option!C115*CALC_Current_option!C111+(CALC_Current_option!D115*CALC_Current_option!D111)</f>
        <v>2084.1999999999998</v>
      </c>
      <c r="K17" s="934" t="s">
        <v>843</v>
      </c>
      <c r="L17" s="606">
        <f>+I17/J17</f>
        <v>3297.086651952789</v>
      </c>
    </row>
    <row r="18" spans="1:12" ht="15.75" thickBot="1" x14ac:dyDescent="0.3">
      <c r="A18" s="932"/>
      <c r="B18" s="607" t="s">
        <v>803</v>
      </c>
      <c r="C18" s="609"/>
      <c r="D18" s="609"/>
      <c r="E18" s="610"/>
      <c r="F18" s="613"/>
      <c r="G18" s="612"/>
      <c r="H18" s="612"/>
      <c r="I18" s="613"/>
      <c r="J18" s="630"/>
      <c r="K18" s="935"/>
      <c r="L18" s="615"/>
    </row>
    <row r="19" spans="1:12" ht="45.75" customHeight="1" thickBot="1" x14ac:dyDescent="0.3">
      <c r="A19" s="933"/>
      <c r="B19" s="616" t="s">
        <v>839</v>
      </c>
      <c r="C19" s="617">
        <f>I19</f>
        <v>944999.99999999988</v>
      </c>
      <c r="D19" s="617">
        <f>SUM(C17:C19)</f>
        <v>7816788.0000000019</v>
      </c>
      <c r="E19" s="618">
        <f>+D19/$C$21</f>
        <v>0.25073064127006778</v>
      </c>
      <c r="F19" s="725">
        <f>CALC_Funding!AK41*CALC_Current_option!$F$128</f>
        <v>0</v>
      </c>
      <c r="G19" s="725">
        <f>CALC_Funding!AL41*CALC_Current_option!$F$128</f>
        <v>944999.99999999988</v>
      </c>
      <c r="H19" s="725">
        <f>CALC_Funding!AM41*CALC_Current_option!$F$128</f>
        <v>0</v>
      </c>
      <c r="I19" s="604">
        <f>SUM(F19:H19)</f>
        <v>944999.99999999988</v>
      </c>
      <c r="J19" s="636">
        <f>+CALC_Current_option!D128</f>
        <v>1890</v>
      </c>
      <c r="K19" s="638" t="s">
        <v>841</v>
      </c>
      <c r="L19" s="637">
        <f>+I19/J19</f>
        <v>499.99999999999994</v>
      </c>
    </row>
    <row r="20" spans="1:12" ht="45.75" customHeight="1" thickBot="1" x14ac:dyDescent="0.3">
      <c r="A20" s="726"/>
      <c r="B20" s="616" t="s">
        <v>840</v>
      </c>
      <c r="C20" s="617">
        <f>I20</f>
        <v>116500</v>
      </c>
      <c r="D20" s="617">
        <f>SUM(C18:C20)</f>
        <v>1061500</v>
      </c>
      <c r="E20" s="618">
        <f>+D20/$C$21</f>
        <v>3.4048585647733685E-2</v>
      </c>
      <c r="F20" s="725">
        <f>CALC_Funding!AK42</f>
        <v>0</v>
      </c>
      <c r="G20" s="725">
        <f>CALC_Funding!AL42</f>
        <v>116500</v>
      </c>
      <c r="H20" s="725">
        <f>CALC_Funding!AM42</f>
        <v>0</v>
      </c>
      <c r="I20" s="604">
        <f>SUM(F20:H20)</f>
        <v>116500</v>
      </c>
      <c r="J20" s="636">
        <f>+CALC_Current_option!D129</f>
        <v>466</v>
      </c>
      <c r="K20" s="638" t="s">
        <v>842</v>
      </c>
      <c r="L20" s="637">
        <f>+I20/J20</f>
        <v>250</v>
      </c>
    </row>
    <row r="21" spans="1:12" ht="15.75" thickBot="1" x14ac:dyDescent="0.3">
      <c r="A21" s="639"/>
      <c r="B21" s="640"/>
      <c r="C21" s="641">
        <f>SUM(C3:C19)</f>
        <v>31176038</v>
      </c>
      <c r="D21" s="622"/>
      <c r="E21" s="624"/>
      <c r="F21" s="625">
        <f>SUM(F3:F19)</f>
        <v>15326438.000000004</v>
      </c>
      <c r="G21" s="625">
        <f>SUM(G3:G19)</f>
        <v>12849600</v>
      </c>
      <c r="H21" s="625">
        <f>SUM(H3:H19)</f>
        <v>3000000</v>
      </c>
      <c r="I21" s="625">
        <f>SUM(I3:I19)</f>
        <v>31176038</v>
      </c>
      <c r="J21" s="626"/>
      <c r="K21" s="626"/>
      <c r="L21" s="627"/>
    </row>
    <row r="22" spans="1:12" x14ac:dyDescent="0.25">
      <c r="H22" s="499">
        <f>SUM(F21:H21)</f>
        <v>31176038.000000004</v>
      </c>
    </row>
  </sheetData>
  <mergeCells count="5">
    <mergeCell ref="A3:A5"/>
    <mergeCell ref="A7:A11"/>
    <mergeCell ref="A12:A16"/>
    <mergeCell ref="A17:A19"/>
    <mergeCell ref="K17:K18"/>
  </mergeCells>
  <pageMargins left="0.7" right="0.7" top="0.75" bottom="0.75" header="0.3" footer="0.3"/>
  <pageSetup paperSize="9" scale="4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5050"/>
  </sheetPr>
  <dimension ref="B1:S28"/>
  <sheetViews>
    <sheetView zoomScale="85" zoomScaleNormal="85" workbookViewId="0"/>
  </sheetViews>
  <sheetFormatPr defaultColWidth="10.5703125" defaultRowHeight="15" outlineLevelCol="1" x14ac:dyDescent="0.25"/>
  <cols>
    <col min="1" max="1" width="3.7109375" customWidth="1"/>
    <col min="2" max="2" width="62.7109375" bestFit="1" customWidth="1"/>
    <col min="3" max="3" width="10.5703125" style="473"/>
    <col min="4" max="4" width="8" bestFit="1" customWidth="1"/>
    <col min="5" max="5" width="7.7109375" bestFit="1" customWidth="1"/>
    <col min="6" max="6" width="7" bestFit="1" customWidth="1"/>
    <col min="7" max="7" width="5.140625" bestFit="1" customWidth="1"/>
    <col min="8" max="8" width="7.7109375" bestFit="1" customWidth="1"/>
    <col min="9" max="9" width="7.5703125" customWidth="1"/>
    <col min="10" max="10" width="7.7109375" bestFit="1" customWidth="1"/>
    <col min="11" max="11" width="5.140625" bestFit="1" customWidth="1"/>
    <col min="12" max="12" width="7.140625" customWidth="1"/>
    <col min="13" max="14" width="8" bestFit="1" customWidth="1"/>
    <col min="15" max="15" width="4.140625" hidden="1" customWidth="1" outlineLevel="1"/>
    <col min="16" max="18" width="3.85546875" hidden="1" customWidth="1" outlineLevel="1"/>
    <col min="19" max="19" width="38.28515625" bestFit="1" customWidth="1" collapsed="1"/>
  </cols>
  <sheetData>
    <row r="1" spans="2:19" ht="16.5" thickTop="1" x14ac:dyDescent="0.25">
      <c r="B1" s="938" t="s">
        <v>860</v>
      </c>
      <c r="C1" s="940" t="s">
        <v>744</v>
      </c>
      <c r="D1" s="942" t="s">
        <v>749</v>
      </c>
      <c r="E1" s="943"/>
      <c r="F1" s="943"/>
      <c r="G1" s="944"/>
      <c r="H1" s="945" t="s">
        <v>750</v>
      </c>
      <c r="I1" s="946"/>
      <c r="J1" s="946"/>
      <c r="K1" s="947"/>
      <c r="L1" s="948" t="s">
        <v>861</v>
      </c>
      <c r="M1" s="950" t="s">
        <v>862</v>
      </c>
      <c r="N1" s="951"/>
      <c r="O1" s="951"/>
      <c r="P1" s="951"/>
      <c r="Q1" s="951"/>
      <c r="R1" s="951"/>
      <c r="S1" s="952"/>
    </row>
    <row r="2" spans="2:19" ht="57.75" thickBot="1" x14ac:dyDescent="0.3">
      <c r="B2" s="939"/>
      <c r="C2" s="941"/>
      <c r="D2" s="784" t="s">
        <v>742</v>
      </c>
      <c r="E2" s="785" t="s">
        <v>19</v>
      </c>
      <c r="F2" s="785" t="s">
        <v>18</v>
      </c>
      <c r="G2" s="786" t="s">
        <v>743</v>
      </c>
      <c r="H2" s="787" t="s">
        <v>742</v>
      </c>
      <c r="I2" s="787" t="s">
        <v>19</v>
      </c>
      <c r="J2" s="787" t="s">
        <v>18</v>
      </c>
      <c r="K2" s="788" t="s">
        <v>743</v>
      </c>
      <c r="L2" s="949"/>
      <c r="M2" s="789" t="s">
        <v>863</v>
      </c>
      <c r="N2" s="790" t="s">
        <v>864</v>
      </c>
      <c r="O2" s="790" t="s">
        <v>865</v>
      </c>
      <c r="P2" s="790" t="s">
        <v>866</v>
      </c>
      <c r="Q2" s="790" t="s">
        <v>867</v>
      </c>
      <c r="R2" s="790" t="s">
        <v>868</v>
      </c>
      <c r="S2" s="810" t="s">
        <v>876</v>
      </c>
    </row>
    <row r="3" spans="2:19" ht="16.5" thickTop="1" thickBot="1" x14ac:dyDescent="0.3">
      <c r="B3" s="970" t="s">
        <v>228</v>
      </c>
      <c r="C3" s="955" t="s">
        <v>37</v>
      </c>
      <c r="D3" s="956">
        <v>1715</v>
      </c>
      <c r="E3" s="956">
        <v>0</v>
      </c>
      <c r="F3" s="488">
        <v>1715</v>
      </c>
      <c r="G3" s="957">
        <v>0</v>
      </c>
      <c r="H3" s="488">
        <v>1607.5</v>
      </c>
      <c r="I3" s="488">
        <v>0</v>
      </c>
      <c r="J3" s="488">
        <v>1607.5</v>
      </c>
      <c r="K3" s="957">
        <v>0</v>
      </c>
      <c r="L3" s="958" t="s">
        <v>869</v>
      </c>
      <c r="M3" s="959">
        <v>0</v>
      </c>
      <c r="N3" s="960">
        <v>-107.5</v>
      </c>
      <c r="O3" s="791">
        <f>+IF(ISERROR((E3/D3)),0,E3/D3)</f>
        <v>0</v>
      </c>
      <c r="P3" s="791">
        <f>+IF(ISERROR((F3/D3)),0,F3/D3)</f>
        <v>1</v>
      </c>
      <c r="Q3" s="791">
        <f>+IF(ISERROR((I3/H3)),0,I3/H3)</f>
        <v>0</v>
      </c>
      <c r="R3" s="791">
        <f>+IF(ISERROR((J3/H3)),0,J3/H3)</f>
        <v>1</v>
      </c>
      <c r="S3" s="792" t="s">
        <v>870</v>
      </c>
    </row>
    <row r="4" spans="2:19" ht="15.75" thickBot="1" x14ac:dyDescent="0.3">
      <c r="B4" s="970" t="s">
        <v>228</v>
      </c>
      <c r="C4" s="955" t="s">
        <v>38</v>
      </c>
      <c r="D4" s="956">
        <v>116.5</v>
      </c>
      <c r="E4" s="956">
        <v>0</v>
      </c>
      <c r="F4" s="488">
        <v>116.5</v>
      </c>
      <c r="G4" s="957">
        <v>0</v>
      </c>
      <c r="H4" s="488">
        <v>38.75</v>
      </c>
      <c r="I4" s="488">
        <v>0</v>
      </c>
      <c r="J4" s="488">
        <v>38.75</v>
      </c>
      <c r="K4" s="957">
        <v>0</v>
      </c>
      <c r="L4" s="958" t="s">
        <v>869</v>
      </c>
      <c r="M4" s="959">
        <v>0</v>
      </c>
      <c r="N4" s="960">
        <v>-77.75</v>
      </c>
      <c r="O4" s="793">
        <f t="shared" ref="O4:O20" si="0">+IF(ISERROR((E4/D4)),0,E4/D4)</f>
        <v>0</v>
      </c>
      <c r="P4" s="793">
        <f t="shared" ref="P4:P20" si="1">+IF(ISERROR((F4/D4)),0,F4/D4)</f>
        <v>1</v>
      </c>
      <c r="Q4" s="793">
        <f t="shared" ref="Q4:Q20" si="2">+IF(ISERROR((I4/H4)),0,I4/H4)</f>
        <v>0</v>
      </c>
      <c r="R4" s="793">
        <f t="shared" ref="R4:R20" si="3">+IF(ISERROR((J4/H4)),0,J4/H4)</f>
        <v>1</v>
      </c>
      <c r="S4" s="794" t="s">
        <v>870</v>
      </c>
    </row>
    <row r="5" spans="2:19" ht="15.75" thickBot="1" x14ac:dyDescent="0.3">
      <c r="B5" s="970" t="s">
        <v>484</v>
      </c>
      <c r="C5" s="955" t="s">
        <v>37</v>
      </c>
      <c r="D5" s="956">
        <v>2050</v>
      </c>
      <c r="E5" s="956">
        <v>0</v>
      </c>
      <c r="F5" s="488">
        <v>2050</v>
      </c>
      <c r="G5" s="957">
        <v>0</v>
      </c>
      <c r="H5" s="488">
        <v>0</v>
      </c>
      <c r="I5" s="488">
        <v>0</v>
      </c>
      <c r="J5" s="488">
        <v>0</v>
      </c>
      <c r="K5" s="957">
        <v>0</v>
      </c>
      <c r="L5" s="958" t="s">
        <v>869</v>
      </c>
      <c r="M5" s="959">
        <v>0</v>
      </c>
      <c r="N5" s="960">
        <v>-2050</v>
      </c>
      <c r="O5" s="793">
        <f t="shared" si="0"/>
        <v>0</v>
      </c>
      <c r="P5" s="793">
        <f t="shared" si="1"/>
        <v>1</v>
      </c>
      <c r="Q5" s="793">
        <f t="shared" si="2"/>
        <v>0</v>
      </c>
      <c r="R5" s="793">
        <f t="shared" si="3"/>
        <v>0</v>
      </c>
      <c r="S5" s="794" t="s">
        <v>871</v>
      </c>
    </row>
    <row r="6" spans="2:19" ht="15.75" thickBot="1" x14ac:dyDescent="0.3">
      <c r="B6" s="971" t="s">
        <v>14</v>
      </c>
      <c r="C6" s="964" t="s">
        <v>37</v>
      </c>
      <c r="D6" s="956">
        <v>200</v>
      </c>
      <c r="E6" s="956">
        <v>100</v>
      </c>
      <c r="F6" s="488">
        <v>0</v>
      </c>
      <c r="G6" s="957">
        <v>100</v>
      </c>
      <c r="H6" s="488">
        <v>0</v>
      </c>
      <c r="I6" s="488">
        <v>0</v>
      </c>
      <c r="J6" s="488">
        <v>0</v>
      </c>
      <c r="K6" s="957">
        <v>0</v>
      </c>
      <c r="L6" s="958" t="s">
        <v>869</v>
      </c>
      <c r="M6" s="959">
        <v>-100</v>
      </c>
      <c r="N6" s="960">
        <v>0</v>
      </c>
      <c r="O6" s="793">
        <f t="shared" si="0"/>
        <v>0.5</v>
      </c>
      <c r="P6" s="793">
        <f t="shared" si="1"/>
        <v>0</v>
      </c>
      <c r="Q6" s="793">
        <f t="shared" si="2"/>
        <v>0</v>
      </c>
      <c r="R6" s="793">
        <f t="shared" si="3"/>
        <v>0</v>
      </c>
      <c r="S6" s="794" t="s">
        <v>871</v>
      </c>
    </row>
    <row r="7" spans="2:19" ht="15.75" thickBot="1" x14ac:dyDescent="0.3">
      <c r="B7" s="972" t="s">
        <v>411</v>
      </c>
      <c r="C7" s="964" t="s">
        <v>37</v>
      </c>
      <c r="D7" s="956">
        <v>528</v>
      </c>
      <c r="E7" s="956">
        <v>528</v>
      </c>
      <c r="F7" s="488">
        <v>0</v>
      </c>
      <c r="G7" s="957">
        <v>0</v>
      </c>
      <c r="H7" s="488">
        <v>264</v>
      </c>
      <c r="I7" s="488">
        <v>264</v>
      </c>
      <c r="J7" s="488">
        <v>0</v>
      </c>
      <c r="K7" s="957">
        <v>0</v>
      </c>
      <c r="L7" s="958" t="s">
        <v>869</v>
      </c>
      <c r="M7" s="959">
        <v>-264</v>
      </c>
      <c r="N7" s="960">
        <v>0</v>
      </c>
      <c r="O7" s="793">
        <f t="shared" si="0"/>
        <v>1</v>
      </c>
      <c r="P7" s="793">
        <f t="shared" si="1"/>
        <v>0</v>
      </c>
      <c r="Q7" s="793">
        <f t="shared" si="2"/>
        <v>1</v>
      </c>
      <c r="R7" s="793">
        <f t="shared" si="3"/>
        <v>0</v>
      </c>
      <c r="S7" s="794" t="s">
        <v>870</v>
      </c>
    </row>
    <row r="8" spans="2:19" ht="15.75" thickBot="1" x14ac:dyDescent="0.3">
      <c r="B8" s="972" t="s">
        <v>415</v>
      </c>
      <c r="C8" s="964" t="s">
        <v>37</v>
      </c>
      <c r="D8" s="956">
        <v>264</v>
      </c>
      <c r="E8" s="956">
        <v>264</v>
      </c>
      <c r="F8" s="488">
        <v>0</v>
      </c>
      <c r="G8" s="957">
        <v>0</v>
      </c>
      <c r="H8" s="488">
        <v>0</v>
      </c>
      <c r="I8" s="488">
        <v>0</v>
      </c>
      <c r="J8" s="488">
        <v>0</v>
      </c>
      <c r="K8" s="957">
        <v>0</v>
      </c>
      <c r="L8" s="958" t="s">
        <v>869</v>
      </c>
      <c r="M8" s="959">
        <v>-264</v>
      </c>
      <c r="N8" s="960">
        <v>0</v>
      </c>
      <c r="O8" s="793">
        <f t="shared" si="0"/>
        <v>1</v>
      </c>
      <c r="P8" s="793">
        <f t="shared" si="1"/>
        <v>0</v>
      </c>
      <c r="Q8" s="793">
        <f t="shared" si="2"/>
        <v>0</v>
      </c>
      <c r="R8" s="793">
        <f t="shared" si="3"/>
        <v>0</v>
      </c>
      <c r="S8" s="794" t="s">
        <v>871</v>
      </c>
    </row>
    <row r="9" spans="2:19" ht="15.75" thickBot="1" x14ac:dyDescent="0.3">
      <c r="B9" s="972" t="s">
        <v>422</v>
      </c>
      <c r="C9" s="964" t="s">
        <v>37</v>
      </c>
      <c r="D9" s="956">
        <v>80</v>
      </c>
      <c r="E9" s="956">
        <v>80</v>
      </c>
      <c r="F9" s="488">
        <v>0</v>
      </c>
      <c r="G9" s="957">
        <v>0</v>
      </c>
      <c r="H9" s="488">
        <v>0</v>
      </c>
      <c r="I9" s="488">
        <v>0</v>
      </c>
      <c r="J9" s="488">
        <v>0</v>
      </c>
      <c r="K9" s="957">
        <v>0</v>
      </c>
      <c r="L9" s="958" t="s">
        <v>869</v>
      </c>
      <c r="M9" s="959">
        <v>-80</v>
      </c>
      <c r="N9" s="960">
        <v>0</v>
      </c>
      <c r="O9" s="793">
        <f t="shared" si="0"/>
        <v>1</v>
      </c>
      <c r="P9" s="793">
        <f t="shared" si="1"/>
        <v>0</v>
      </c>
      <c r="Q9" s="793">
        <f t="shared" si="2"/>
        <v>0</v>
      </c>
      <c r="R9" s="793">
        <f t="shared" si="3"/>
        <v>0</v>
      </c>
      <c r="S9" s="794" t="s">
        <v>871</v>
      </c>
    </row>
    <row r="10" spans="2:19" ht="15.75" thickBot="1" x14ac:dyDescent="0.3">
      <c r="B10" s="972" t="s">
        <v>413</v>
      </c>
      <c r="C10" s="964" t="s">
        <v>37</v>
      </c>
      <c r="D10" s="956">
        <v>46</v>
      </c>
      <c r="E10" s="956">
        <v>46</v>
      </c>
      <c r="F10" s="488">
        <v>0</v>
      </c>
      <c r="G10" s="957">
        <v>0</v>
      </c>
      <c r="H10" s="488">
        <v>69</v>
      </c>
      <c r="I10" s="488">
        <v>69</v>
      </c>
      <c r="J10" s="488">
        <v>0</v>
      </c>
      <c r="K10" s="957">
        <v>0</v>
      </c>
      <c r="L10" s="958" t="s">
        <v>869</v>
      </c>
      <c r="M10" s="959">
        <v>23</v>
      </c>
      <c r="N10" s="960">
        <v>0</v>
      </c>
      <c r="O10" s="793">
        <f t="shared" si="0"/>
        <v>1</v>
      </c>
      <c r="P10" s="793">
        <f t="shared" si="1"/>
        <v>0</v>
      </c>
      <c r="Q10" s="793">
        <f t="shared" si="2"/>
        <v>1</v>
      </c>
      <c r="R10" s="793">
        <f t="shared" si="3"/>
        <v>0</v>
      </c>
      <c r="S10" s="794" t="s">
        <v>870</v>
      </c>
    </row>
    <row r="11" spans="2:19" ht="15.75" thickBot="1" x14ac:dyDescent="0.3">
      <c r="B11" s="972" t="s">
        <v>413</v>
      </c>
      <c r="C11" s="964" t="s">
        <v>38</v>
      </c>
      <c r="D11" s="956">
        <v>34.5</v>
      </c>
      <c r="E11" s="956">
        <v>34.5</v>
      </c>
      <c r="F11" s="488">
        <v>0</v>
      </c>
      <c r="G11" s="957">
        <v>0</v>
      </c>
      <c r="H11" s="488">
        <v>25</v>
      </c>
      <c r="I11" s="488">
        <v>25</v>
      </c>
      <c r="J11" s="488">
        <v>0</v>
      </c>
      <c r="K11" s="957">
        <v>0</v>
      </c>
      <c r="L11" s="958" t="s">
        <v>869</v>
      </c>
      <c r="M11" s="959">
        <v>-9.5</v>
      </c>
      <c r="N11" s="960">
        <v>0</v>
      </c>
      <c r="O11" s="793">
        <f t="shared" si="0"/>
        <v>1</v>
      </c>
      <c r="P11" s="793">
        <f t="shared" si="1"/>
        <v>0</v>
      </c>
      <c r="Q11" s="793">
        <f t="shared" si="2"/>
        <v>1</v>
      </c>
      <c r="R11" s="793">
        <f t="shared" si="3"/>
        <v>0</v>
      </c>
      <c r="S11" s="794" t="s">
        <v>870</v>
      </c>
    </row>
    <row r="12" spans="2:19" ht="15.75" thickBot="1" x14ac:dyDescent="0.3">
      <c r="B12" s="972" t="s">
        <v>414</v>
      </c>
      <c r="C12" s="964" t="s">
        <v>38</v>
      </c>
      <c r="D12" s="956">
        <v>0</v>
      </c>
      <c r="E12" s="956">
        <v>0</v>
      </c>
      <c r="F12" s="488">
        <v>0</v>
      </c>
      <c r="G12" s="957">
        <v>0</v>
      </c>
      <c r="H12" s="488">
        <v>25</v>
      </c>
      <c r="I12" s="488">
        <v>25</v>
      </c>
      <c r="J12" s="488">
        <v>0</v>
      </c>
      <c r="K12" s="957">
        <v>0</v>
      </c>
      <c r="L12" s="958" t="s">
        <v>869</v>
      </c>
      <c r="M12" s="959">
        <v>25</v>
      </c>
      <c r="N12" s="960">
        <v>0</v>
      </c>
      <c r="O12" s="793">
        <f t="shared" si="0"/>
        <v>0</v>
      </c>
      <c r="P12" s="793">
        <f t="shared" si="1"/>
        <v>0</v>
      </c>
      <c r="Q12" s="793">
        <f t="shared" si="2"/>
        <v>1</v>
      </c>
      <c r="R12" s="793">
        <f t="shared" si="3"/>
        <v>0</v>
      </c>
      <c r="S12" s="794" t="s">
        <v>875</v>
      </c>
    </row>
    <row r="13" spans="2:19" ht="15.75" thickBot="1" x14ac:dyDescent="0.3">
      <c r="B13" s="972" t="s">
        <v>408</v>
      </c>
      <c r="C13" s="964" t="s">
        <v>37</v>
      </c>
      <c r="D13" s="956">
        <v>83.4</v>
      </c>
      <c r="E13" s="956">
        <v>83.4</v>
      </c>
      <c r="F13" s="488">
        <v>0</v>
      </c>
      <c r="G13" s="957">
        <v>0</v>
      </c>
      <c r="H13" s="488">
        <v>125.1</v>
      </c>
      <c r="I13" s="488">
        <v>125.1</v>
      </c>
      <c r="J13" s="488">
        <v>0</v>
      </c>
      <c r="K13" s="957">
        <v>0</v>
      </c>
      <c r="L13" s="958" t="s">
        <v>869</v>
      </c>
      <c r="M13" s="959">
        <v>41.699999999999989</v>
      </c>
      <c r="N13" s="960">
        <v>0</v>
      </c>
      <c r="O13" s="793">
        <f t="shared" si="0"/>
        <v>1</v>
      </c>
      <c r="P13" s="793">
        <f t="shared" si="1"/>
        <v>0</v>
      </c>
      <c r="Q13" s="793">
        <f t="shared" si="2"/>
        <v>1</v>
      </c>
      <c r="R13" s="793">
        <f t="shared" si="3"/>
        <v>0</v>
      </c>
      <c r="S13" s="794" t="s">
        <v>870</v>
      </c>
    </row>
    <row r="14" spans="2:19" ht="15.75" thickBot="1" x14ac:dyDescent="0.3">
      <c r="B14" s="972" t="s">
        <v>409</v>
      </c>
      <c r="C14" s="964" t="s">
        <v>37</v>
      </c>
      <c r="D14" s="956">
        <v>266.10000000000002</v>
      </c>
      <c r="E14" s="956">
        <v>266.10000000000002</v>
      </c>
      <c r="F14" s="488">
        <v>0</v>
      </c>
      <c r="G14" s="957">
        <v>0</v>
      </c>
      <c r="H14" s="488">
        <v>399.15</v>
      </c>
      <c r="I14" s="488">
        <v>399.15</v>
      </c>
      <c r="J14" s="488">
        <v>0</v>
      </c>
      <c r="K14" s="957">
        <v>0</v>
      </c>
      <c r="L14" s="958" t="s">
        <v>869</v>
      </c>
      <c r="M14" s="959">
        <v>133.04999999999995</v>
      </c>
      <c r="N14" s="960">
        <v>0</v>
      </c>
      <c r="O14" s="793">
        <f t="shared" si="0"/>
        <v>1</v>
      </c>
      <c r="P14" s="793">
        <f t="shared" si="1"/>
        <v>0</v>
      </c>
      <c r="Q14" s="793">
        <f t="shared" si="2"/>
        <v>1</v>
      </c>
      <c r="R14" s="793">
        <f t="shared" si="3"/>
        <v>0</v>
      </c>
      <c r="S14" s="794" t="s">
        <v>870</v>
      </c>
    </row>
    <row r="15" spans="2:19" ht="15.75" thickBot="1" x14ac:dyDescent="0.3">
      <c r="B15" s="972" t="s">
        <v>421</v>
      </c>
      <c r="C15" s="964" t="s">
        <v>38</v>
      </c>
      <c r="D15" s="956">
        <v>120</v>
      </c>
      <c r="E15" s="956">
        <v>120</v>
      </c>
      <c r="F15" s="488">
        <v>0</v>
      </c>
      <c r="G15" s="957">
        <v>0</v>
      </c>
      <c r="H15" s="488">
        <v>0</v>
      </c>
      <c r="I15" s="488">
        <v>0</v>
      </c>
      <c r="J15" s="488">
        <v>0</v>
      </c>
      <c r="K15" s="957">
        <v>0</v>
      </c>
      <c r="L15" s="958" t="s">
        <v>869</v>
      </c>
      <c r="M15" s="959">
        <v>-120</v>
      </c>
      <c r="N15" s="960">
        <v>0</v>
      </c>
      <c r="O15" s="793">
        <f t="shared" si="0"/>
        <v>1</v>
      </c>
      <c r="P15" s="793">
        <f t="shared" si="1"/>
        <v>0</v>
      </c>
      <c r="Q15" s="793">
        <f t="shared" si="2"/>
        <v>0</v>
      </c>
      <c r="R15" s="793">
        <f t="shared" si="3"/>
        <v>0</v>
      </c>
      <c r="S15" s="794" t="s">
        <v>871</v>
      </c>
    </row>
    <row r="16" spans="2:19" ht="15.75" thickBot="1" x14ac:dyDescent="0.3">
      <c r="B16" s="972" t="s">
        <v>137</v>
      </c>
      <c r="C16" s="964" t="s">
        <v>37</v>
      </c>
      <c r="D16" s="956">
        <v>0</v>
      </c>
      <c r="E16" s="956">
        <v>0</v>
      </c>
      <c r="F16" s="488">
        <v>0</v>
      </c>
      <c r="G16" s="957">
        <v>0</v>
      </c>
      <c r="H16" s="488">
        <v>13291.600000000002</v>
      </c>
      <c r="I16" s="488">
        <v>0</v>
      </c>
      <c r="J16" s="488">
        <v>13291.600000000002</v>
      </c>
      <c r="K16" s="957">
        <v>0</v>
      </c>
      <c r="L16" s="958" t="s">
        <v>869</v>
      </c>
      <c r="M16" s="959">
        <v>0</v>
      </c>
      <c r="N16" s="960">
        <v>13291.600000000002</v>
      </c>
      <c r="O16" s="793">
        <f t="shared" si="0"/>
        <v>0</v>
      </c>
      <c r="P16" s="793">
        <f t="shared" si="1"/>
        <v>0</v>
      </c>
      <c r="Q16" s="793">
        <f t="shared" si="2"/>
        <v>0</v>
      </c>
      <c r="R16" s="793">
        <f t="shared" si="3"/>
        <v>1</v>
      </c>
      <c r="S16" s="794" t="s">
        <v>872</v>
      </c>
    </row>
    <row r="17" spans="2:19" ht="15.75" thickBot="1" x14ac:dyDescent="0.3">
      <c r="B17" s="972" t="s">
        <v>138</v>
      </c>
      <c r="C17" s="964" t="s">
        <v>37</v>
      </c>
      <c r="D17" s="956">
        <v>12450.438000000004</v>
      </c>
      <c r="E17" s="956">
        <v>12450.438000000004</v>
      </c>
      <c r="F17" s="488">
        <v>0</v>
      </c>
      <c r="G17" s="957">
        <v>0</v>
      </c>
      <c r="H17" s="488">
        <v>11337.865000000002</v>
      </c>
      <c r="I17" s="488">
        <v>0</v>
      </c>
      <c r="J17" s="488">
        <v>11337.865000000002</v>
      </c>
      <c r="K17" s="957">
        <v>0</v>
      </c>
      <c r="L17" s="958" t="s">
        <v>869</v>
      </c>
      <c r="M17" s="959">
        <v>-12450.438000000004</v>
      </c>
      <c r="N17" s="960">
        <v>11337.865000000002</v>
      </c>
      <c r="O17" s="793">
        <f t="shared" si="0"/>
        <v>1</v>
      </c>
      <c r="P17" s="793">
        <f t="shared" si="1"/>
        <v>0</v>
      </c>
      <c r="Q17" s="793">
        <f t="shared" si="2"/>
        <v>0</v>
      </c>
      <c r="R17" s="793">
        <f t="shared" si="3"/>
        <v>1</v>
      </c>
      <c r="S17" s="794" t="s">
        <v>895</v>
      </c>
    </row>
    <row r="18" spans="2:19" ht="15.75" thickBot="1" x14ac:dyDescent="0.3">
      <c r="B18" s="973" t="s">
        <v>59</v>
      </c>
      <c r="C18" s="965" t="s">
        <v>37</v>
      </c>
      <c r="D18" s="956">
        <v>1200</v>
      </c>
      <c r="E18" s="956">
        <v>1200</v>
      </c>
      <c r="F18" s="488"/>
      <c r="G18" s="957"/>
      <c r="H18" s="966">
        <v>3475.4243542435429</v>
      </c>
      <c r="I18" s="488">
        <v>3475.4243542435429</v>
      </c>
      <c r="J18" s="488"/>
      <c r="K18" s="957"/>
      <c r="L18" s="958" t="s">
        <v>869</v>
      </c>
      <c r="M18" s="959">
        <v>2275.4243542435429</v>
      </c>
      <c r="N18" s="960">
        <v>0</v>
      </c>
      <c r="O18" s="793">
        <f t="shared" si="0"/>
        <v>1</v>
      </c>
      <c r="P18" s="793">
        <f t="shared" si="1"/>
        <v>0</v>
      </c>
      <c r="Q18" s="793">
        <f t="shared" si="2"/>
        <v>1</v>
      </c>
      <c r="R18" s="793">
        <f t="shared" si="3"/>
        <v>0</v>
      </c>
      <c r="S18" s="794" t="s">
        <v>870</v>
      </c>
    </row>
    <row r="19" spans="2:19" ht="15.75" thickBot="1" x14ac:dyDescent="0.3">
      <c r="B19" s="974" t="s">
        <v>456</v>
      </c>
      <c r="C19" s="795"/>
      <c r="D19" s="956">
        <v>-1200</v>
      </c>
      <c r="E19" s="956">
        <v>-1200</v>
      </c>
      <c r="F19" s="977"/>
      <c r="G19" s="968"/>
      <c r="H19" s="966">
        <v>-3475.4243542435429</v>
      </c>
      <c r="I19" s="967">
        <v>-3475.4243542435429</v>
      </c>
      <c r="J19" s="967"/>
      <c r="K19" s="957"/>
      <c r="L19" s="958" t="s">
        <v>869</v>
      </c>
      <c r="M19" s="959">
        <v>-2275.4243542435429</v>
      </c>
      <c r="N19" s="960">
        <v>0</v>
      </c>
      <c r="O19" s="793">
        <f t="shared" si="0"/>
        <v>1</v>
      </c>
      <c r="P19" s="793">
        <f t="shared" si="1"/>
        <v>0</v>
      </c>
      <c r="Q19" s="793">
        <f t="shared" si="2"/>
        <v>1</v>
      </c>
      <c r="R19" s="793">
        <f t="shared" si="3"/>
        <v>0</v>
      </c>
      <c r="S19" s="794" t="s">
        <v>870</v>
      </c>
    </row>
    <row r="20" spans="2:19" ht="15.75" thickBot="1" x14ac:dyDescent="0.3">
      <c r="B20" s="973" t="s">
        <v>229</v>
      </c>
      <c r="C20" s="965" t="s">
        <v>37</v>
      </c>
      <c r="D20" s="956">
        <v>188.24999999999997</v>
      </c>
      <c r="E20" s="956">
        <v>0</v>
      </c>
      <c r="F20" s="488">
        <v>188.24999999999997</v>
      </c>
      <c r="G20" s="957"/>
      <c r="H20" s="966">
        <v>80.375</v>
      </c>
      <c r="I20" s="488">
        <v>0</v>
      </c>
      <c r="J20" s="488">
        <v>80.375</v>
      </c>
      <c r="K20" s="957"/>
      <c r="L20" s="958" t="s">
        <v>869</v>
      </c>
      <c r="M20" s="959">
        <v>0</v>
      </c>
      <c r="N20" s="960">
        <v>-107.87499999999997</v>
      </c>
      <c r="O20" s="796">
        <f t="shared" si="0"/>
        <v>0</v>
      </c>
      <c r="P20" s="796">
        <f t="shared" si="1"/>
        <v>1</v>
      </c>
      <c r="Q20" s="796">
        <f t="shared" si="2"/>
        <v>0</v>
      </c>
      <c r="R20" s="796">
        <f t="shared" si="3"/>
        <v>1</v>
      </c>
      <c r="S20" s="794" t="s">
        <v>870</v>
      </c>
    </row>
    <row r="21" spans="2:19" ht="15.75" thickBot="1" x14ac:dyDescent="0.3">
      <c r="B21" s="973" t="s">
        <v>229</v>
      </c>
      <c r="C21" s="965" t="s">
        <v>38</v>
      </c>
      <c r="D21" s="956">
        <v>5.8249999999999993</v>
      </c>
      <c r="E21" s="956">
        <v>0</v>
      </c>
      <c r="F21" s="488">
        <v>5.8249999999999993</v>
      </c>
      <c r="G21" s="957"/>
      <c r="H21" s="966">
        <v>1.9375</v>
      </c>
      <c r="I21" s="488">
        <v>0</v>
      </c>
      <c r="J21" s="488">
        <v>1.9375</v>
      </c>
      <c r="K21" s="957"/>
      <c r="L21" s="958" t="s">
        <v>869</v>
      </c>
      <c r="M21" s="959">
        <v>0</v>
      </c>
      <c r="N21" s="960">
        <v>-3.8874999999999993</v>
      </c>
      <c r="O21" s="796">
        <f t="shared" ref="O21:O26" si="4">+IF(ISERROR((E21/D21)),0,E21/D21)</f>
        <v>0</v>
      </c>
      <c r="P21" s="796">
        <f t="shared" ref="P21:P26" si="5">+IF(ISERROR((F21/D21)),0,F21/D21)</f>
        <v>1</v>
      </c>
      <c r="Q21" s="796">
        <f t="shared" ref="Q21:Q26" si="6">+IF(ISERROR((I21/H21)),0,I21/H21)</f>
        <v>0</v>
      </c>
      <c r="R21" s="796">
        <f t="shared" ref="R21:R26" si="7">+IF(ISERROR((J21/H21)),0,J21/H21)</f>
        <v>1</v>
      </c>
      <c r="S21" s="794" t="s">
        <v>870</v>
      </c>
    </row>
    <row r="22" spans="2:19" ht="15.75" thickBot="1" x14ac:dyDescent="0.3">
      <c r="B22" s="973" t="s">
        <v>344</v>
      </c>
      <c r="C22" s="965" t="s">
        <v>37</v>
      </c>
      <c r="D22" s="956">
        <v>1466.9999999999998</v>
      </c>
      <c r="E22" s="956">
        <v>1466.9999999999998</v>
      </c>
      <c r="F22" s="488">
        <v>0</v>
      </c>
      <c r="G22" s="957"/>
      <c r="H22" s="966">
        <v>1833.75</v>
      </c>
      <c r="I22" s="488">
        <v>1833.75</v>
      </c>
      <c r="J22" s="488">
        <v>0</v>
      </c>
      <c r="K22" s="957"/>
      <c r="L22" s="958" t="s">
        <v>869</v>
      </c>
      <c r="M22" s="959">
        <v>366.75000000000023</v>
      </c>
      <c r="N22" s="960">
        <v>0</v>
      </c>
      <c r="O22" s="796">
        <f t="shared" si="4"/>
        <v>1</v>
      </c>
      <c r="P22" s="796">
        <f t="shared" si="5"/>
        <v>0</v>
      </c>
      <c r="Q22" s="796">
        <f t="shared" si="6"/>
        <v>1</v>
      </c>
      <c r="R22" s="796">
        <f t="shared" si="7"/>
        <v>0</v>
      </c>
      <c r="S22" s="794" t="s">
        <v>870</v>
      </c>
    </row>
    <row r="23" spans="2:19" ht="15.75" thickBot="1" x14ac:dyDescent="0.3">
      <c r="B23" s="973" t="s">
        <v>344</v>
      </c>
      <c r="C23" s="965" t="s">
        <v>38</v>
      </c>
      <c r="D23" s="956">
        <v>219.99999999999997</v>
      </c>
      <c r="E23" s="956">
        <v>219.99999999999997</v>
      </c>
      <c r="F23" s="488">
        <v>0</v>
      </c>
      <c r="G23" s="957"/>
      <c r="H23" s="966">
        <v>275</v>
      </c>
      <c r="I23" s="488">
        <v>275</v>
      </c>
      <c r="J23" s="488">
        <v>0</v>
      </c>
      <c r="K23" s="957"/>
      <c r="L23" s="958" t="s">
        <v>869</v>
      </c>
      <c r="M23" s="959">
        <v>55.000000000000028</v>
      </c>
      <c r="N23" s="960">
        <v>0</v>
      </c>
      <c r="O23" s="796">
        <f t="shared" si="4"/>
        <v>1</v>
      </c>
      <c r="P23" s="796">
        <f t="shared" si="5"/>
        <v>0</v>
      </c>
      <c r="Q23" s="796">
        <f t="shared" si="6"/>
        <v>1</v>
      </c>
      <c r="R23" s="796">
        <f t="shared" si="7"/>
        <v>0</v>
      </c>
      <c r="S23" s="794" t="s">
        <v>870</v>
      </c>
    </row>
    <row r="24" spans="2:19" ht="15.75" thickBot="1" x14ac:dyDescent="0.3">
      <c r="B24" s="973" t="s">
        <v>466</v>
      </c>
      <c r="C24" s="965" t="s">
        <v>37</v>
      </c>
      <c r="D24" s="956">
        <v>293.39999999999998</v>
      </c>
      <c r="E24" s="956">
        <v>293.39999999999998</v>
      </c>
      <c r="F24" s="488">
        <v>0</v>
      </c>
      <c r="G24" s="957"/>
      <c r="H24" s="966">
        <v>366.74999999999994</v>
      </c>
      <c r="I24" s="488">
        <v>366.74999999999994</v>
      </c>
      <c r="J24" s="488">
        <v>0</v>
      </c>
      <c r="K24" s="957"/>
      <c r="L24" s="958" t="s">
        <v>869</v>
      </c>
      <c r="M24" s="959">
        <v>73.349999999999966</v>
      </c>
      <c r="N24" s="960">
        <v>0</v>
      </c>
      <c r="O24" s="796">
        <f t="shared" si="4"/>
        <v>1</v>
      </c>
      <c r="P24" s="796">
        <f t="shared" si="5"/>
        <v>0</v>
      </c>
      <c r="Q24" s="796">
        <f t="shared" si="6"/>
        <v>1</v>
      </c>
      <c r="R24" s="796">
        <f t="shared" si="7"/>
        <v>0</v>
      </c>
      <c r="S24" s="794" t="s">
        <v>870</v>
      </c>
    </row>
    <row r="25" spans="2:19" ht="15.75" thickBot="1" x14ac:dyDescent="0.3">
      <c r="B25" s="973" t="s">
        <v>466</v>
      </c>
      <c r="C25" s="965" t="s">
        <v>38</v>
      </c>
      <c r="D25" s="956">
        <v>44</v>
      </c>
      <c r="E25" s="956">
        <v>44</v>
      </c>
      <c r="F25" s="488">
        <v>0</v>
      </c>
      <c r="G25" s="957"/>
      <c r="H25" s="966">
        <v>54.999999999999993</v>
      </c>
      <c r="I25" s="488">
        <v>54.999999999999993</v>
      </c>
      <c r="J25" s="488">
        <v>0</v>
      </c>
      <c r="K25" s="957"/>
      <c r="L25" s="958" t="s">
        <v>869</v>
      </c>
      <c r="M25" s="959">
        <v>10.999999999999993</v>
      </c>
      <c r="N25" s="960">
        <v>0</v>
      </c>
      <c r="O25" s="796">
        <f t="shared" si="4"/>
        <v>1</v>
      </c>
      <c r="P25" s="796">
        <f t="shared" si="5"/>
        <v>0</v>
      </c>
      <c r="Q25" s="796">
        <f t="shared" si="6"/>
        <v>1</v>
      </c>
      <c r="R25" s="796">
        <f t="shared" si="7"/>
        <v>0</v>
      </c>
      <c r="S25" s="794" t="s">
        <v>870</v>
      </c>
    </row>
    <row r="26" spans="2:19" ht="15.75" thickBot="1" x14ac:dyDescent="0.3">
      <c r="B26" s="975" t="s">
        <v>828</v>
      </c>
      <c r="C26" s="965" t="s">
        <v>37</v>
      </c>
      <c r="D26" s="956">
        <v>1650.2763200000013</v>
      </c>
      <c r="E26" s="956">
        <v>1650.2763200000013</v>
      </c>
      <c r="F26" s="488">
        <v>0</v>
      </c>
      <c r="G26" s="957"/>
      <c r="H26" s="966">
        <v>2676.8064399999994</v>
      </c>
      <c r="I26" s="488">
        <v>0</v>
      </c>
      <c r="J26" s="488">
        <v>2676.8064399999994</v>
      </c>
      <c r="K26" s="957"/>
      <c r="L26" s="958" t="s">
        <v>869</v>
      </c>
      <c r="M26" s="959">
        <v>-1650.2763200000013</v>
      </c>
      <c r="N26" s="960">
        <v>2676.8064399999994</v>
      </c>
      <c r="O26" s="796">
        <f t="shared" si="4"/>
        <v>1</v>
      </c>
      <c r="P26" s="796">
        <f t="shared" si="5"/>
        <v>0</v>
      </c>
      <c r="Q26" s="796">
        <f t="shared" si="6"/>
        <v>0</v>
      </c>
      <c r="R26" s="796">
        <f t="shared" si="7"/>
        <v>1</v>
      </c>
      <c r="S26" s="936" t="s">
        <v>896</v>
      </c>
    </row>
    <row r="27" spans="2:19" ht="16.5" thickTop="1" thickBot="1" x14ac:dyDescent="0.3">
      <c r="B27" s="975" t="s">
        <v>830</v>
      </c>
      <c r="C27" s="965" t="s">
        <v>37</v>
      </c>
      <c r="D27" s="956">
        <v>1885.2750000000003</v>
      </c>
      <c r="E27" s="961">
        <v>0</v>
      </c>
      <c r="F27" s="962">
        <v>1885.2750000000003</v>
      </c>
      <c r="G27" s="957"/>
      <c r="H27" s="966">
        <v>4543.5950000000012</v>
      </c>
      <c r="I27" s="488">
        <v>0</v>
      </c>
      <c r="J27" s="488">
        <v>4543.5950000000012</v>
      </c>
      <c r="K27" s="957"/>
      <c r="L27" s="958" t="s">
        <v>869</v>
      </c>
      <c r="M27" s="959">
        <v>0</v>
      </c>
      <c r="N27" s="960">
        <v>2658.3200000000006</v>
      </c>
      <c r="O27" s="797"/>
      <c r="P27" s="797"/>
      <c r="Q27" s="797"/>
      <c r="R27" s="797"/>
      <c r="S27" s="937"/>
    </row>
    <row r="28" spans="2:19" ht="15.75" thickBot="1" x14ac:dyDescent="0.3">
      <c r="B28" s="976"/>
      <c r="C28" s="969"/>
      <c r="D28" s="963">
        <f>SUM(D3:D27)</f>
        <v>23707.964320000006</v>
      </c>
      <c r="E28" s="963">
        <f t="shared" ref="E28:K28" si="8">SUM(E3:E27)</f>
        <v>17647.114320000004</v>
      </c>
      <c r="F28" s="963">
        <f t="shared" si="8"/>
        <v>5960.85</v>
      </c>
      <c r="G28" s="963">
        <f t="shared" si="8"/>
        <v>100</v>
      </c>
      <c r="H28" s="963">
        <f t="shared" si="8"/>
        <v>37016.178940000005</v>
      </c>
      <c r="I28" s="963">
        <f t="shared" si="8"/>
        <v>3437.7500000000005</v>
      </c>
      <c r="J28" s="963">
        <f>SUM(J3:J27)</f>
        <v>33578.428940000005</v>
      </c>
      <c r="K28" s="963">
        <f t="shared" si="8"/>
        <v>0</v>
      </c>
      <c r="L28" s="963" t="s">
        <v>869</v>
      </c>
      <c r="M28" s="978">
        <f>SUM(M3:M27)</f>
        <v>-14209.364320000004</v>
      </c>
      <c r="N28" s="979">
        <f>SUM(N3:N27)</f>
        <v>27617.578940000003</v>
      </c>
    </row>
  </sheetData>
  <mergeCells count="7">
    <mergeCell ref="S26:S27"/>
    <mergeCell ref="B1:B2"/>
    <mergeCell ref="C1:C2"/>
    <mergeCell ref="D1:G1"/>
    <mergeCell ref="H1:K1"/>
    <mergeCell ref="L1:L2"/>
    <mergeCell ref="M1:S1"/>
  </mergeCells>
  <conditionalFormatting sqref="M3:N27">
    <cfRule type="cellIs" dxfId="5" priority="5" operator="lessThan">
      <formula>0</formula>
    </cfRule>
    <cfRule type="cellIs" dxfId="4" priority="6" operator="greaterThan">
      <formula>0</formula>
    </cfRule>
  </conditionalFormatting>
  <conditionalFormatting sqref="M28">
    <cfRule type="cellIs" dxfId="3" priority="3" operator="lessThan">
      <formula>0</formula>
    </cfRule>
    <cfRule type="cellIs" dxfId="2" priority="4" operator="greaterThan">
      <formula>0</formula>
    </cfRule>
  </conditionalFormatting>
  <conditionalFormatting sqref="N28">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A1:S29"/>
  <sheetViews>
    <sheetView showGridLines="0" zoomScaleNormal="100" workbookViewId="0">
      <selection activeCell="M29" sqref="M29"/>
    </sheetView>
  </sheetViews>
  <sheetFormatPr defaultColWidth="9.140625" defaultRowHeight="12.75" x14ac:dyDescent="0.2"/>
  <cols>
    <col min="1" max="1" width="2.85546875" style="437" customWidth="1"/>
    <col min="2" max="19" width="9.140625" style="437" customWidth="1"/>
    <col min="20" max="16384" width="9.140625" style="437"/>
  </cols>
  <sheetData>
    <row r="1" spans="1:19" s="155" customFormat="1" ht="20.45" customHeight="1" x14ac:dyDescent="0.3">
      <c r="B1" s="461" t="s">
        <v>630</v>
      </c>
      <c r="E1" s="460"/>
    </row>
    <row r="2" spans="1:19" x14ac:dyDescent="0.2">
      <c r="A2" s="434"/>
      <c r="B2" s="434"/>
      <c r="C2" s="434"/>
      <c r="D2" s="434"/>
      <c r="E2" s="435"/>
      <c r="F2" s="436"/>
      <c r="G2" s="436"/>
      <c r="H2" s="436"/>
    </row>
    <row r="3" spans="1:19" s="440" customFormat="1" ht="15" customHeight="1" x14ac:dyDescent="0.25">
      <c r="A3" s="438"/>
      <c r="B3" s="439" t="s">
        <v>670</v>
      </c>
      <c r="C3" s="439"/>
      <c r="D3" s="438"/>
      <c r="E3" s="438"/>
    </row>
    <row r="4" spans="1:19" s="440" customFormat="1" ht="15" customHeight="1" x14ac:dyDescent="0.25">
      <c r="A4" s="438"/>
      <c r="B4" s="439" t="s">
        <v>631</v>
      </c>
      <c r="C4" s="439"/>
      <c r="D4" s="438"/>
      <c r="E4" s="438"/>
    </row>
    <row r="5" spans="1:19" s="440" customFormat="1" ht="15" x14ac:dyDescent="0.25">
      <c r="B5" s="439" t="s">
        <v>632</v>
      </c>
      <c r="C5" s="439"/>
    </row>
    <row r="6" spans="1:19" x14ac:dyDescent="0.2">
      <c r="A6" s="441"/>
      <c r="B6" s="441"/>
      <c r="C6" s="441"/>
    </row>
    <row r="7" spans="1:19" x14ac:dyDescent="0.2">
      <c r="A7" s="441"/>
      <c r="B7" s="441"/>
      <c r="C7" s="441"/>
    </row>
    <row r="9" spans="1:19" x14ac:dyDescent="0.2">
      <c r="S9" s="442"/>
    </row>
    <row r="12" spans="1:19" x14ac:dyDescent="0.2">
      <c r="K12" s="442"/>
    </row>
    <row r="16" spans="1:19" x14ac:dyDescent="0.2">
      <c r="B16" s="442"/>
      <c r="C16" s="442"/>
      <c r="D16" s="442"/>
      <c r="E16" s="442"/>
      <c r="F16" s="442"/>
      <c r="G16" s="442"/>
      <c r="H16" s="442"/>
      <c r="I16" s="442"/>
      <c r="J16" s="442"/>
      <c r="K16" s="442"/>
      <c r="L16" s="442"/>
    </row>
    <row r="29" spans="17:17" x14ac:dyDescent="0.2">
      <c r="Q29" s="462" t="s">
        <v>672</v>
      </c>
    </row>
  </sheetData>
  <pageMargins left="0.39370078740157483" right="0.39370078740157483" top="0.39370078740157483" bottom="0.39370078740157483" header="0.39370078740157483" footer="0.39370078740157483"/>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C34"/>
  <sheetViews>
    <sheetView workbookViewId="0">
      <selection activeCell="C3" sqref="C3"/>
    </sheetView>
  </sheetViews>
  <sheetFormatPr defaultRowHeight="15" x14ac:dyDescent="0.25"/>
  <cols>
    <col min="2" max="2" width="10.7109375" customWidth="1"/>
    <col min="3" max="3" width="115" customWidth="1"/>
  </cols>
  <sheetData>
    <row r="1" spans="1:3" x14ac:dyDescent="0.25">
      <c r="A1" t="s">
        <v>889</v>
      </c>
      <c r="B1" s="290">
        <v>43630</v>
      </c>
      <c r="C1" t="s">
        <v>890</v>
      </c>
    </row>
    <row r="2" spans="1:3" x14ac:dyDescent="0.25">
      <c r="B2" s="290"/>
      <c r="C2" t="s">
        <v>891</v>
      </c>
    </row>
    <row r="3" spans="1:3" x14ac:dyDescent="0.25">
      <c r="A3" t="s">
        <v>881</v>
      </c>
      <c r="B3" s="290">
        <v>43630</v>
      </c>
      <c r="C3" t="s">
        <v>880</v>
      </c>
    </row>
    <row r="4" spans="1:3" x14ac:dyDescent="0.25">
      <c r="A4" t="s">
        <v>878</v>
      </c>
      <c r="B4" s="290">
        <v>43629</v>
      </c>
      <c r="C4" t="s">
        <v>877</v>
      </c>
    </row>
    <row r="5" spans="1:3" x14ac:dyDescent="0.25">
      <c r="A5" t="s">
        <v>772</v>
      </c>
      <c r="B5" s="290">
        <v>43625</v>
      </c>
      <c r="C5" t="s">
        <v>855</v>
      </c>
    </row>
    <row r="6" spans="1:3" x14ac:dyDescent="0.25">
      <c r="B6" s="290">
        <v>43624</v>
      </c>
      <c r="C6" t="s">
        <v>846</v>
      </c>
    </row>
    <row r="7" spans="1:3" x14ac:dyDescent="0.25">
      <c r="C7" t="s">
        <v>845</v>
      </c>
    </row>
    <row r="8" spans="1:3" x14ac:dyDescent="0.25">
      <c r="C8" t="s">
        <v>879</v>
      </c>
    </row>
    <row r="9" spans="1:3" x14ac:dyDescent="0.25">
      <c r="C9" t="s">
        <v>849</v>
      </c>
    </row>
    <row r="10" spans="1:3" x14ac:dyDescent="0.25">
      <c r="C10" t="s">
        <v>814</v>
      </c>
    </row>
    <row r="11" spans="1:3" x14ac:dyDescent="0.25">
      <c r="C11" t="s">
        <v>848</v>
      </c>
    </row>
    <row r="12" spans="1:3" x14ac:dyDescent="0.25">
      <c r="C12" t="s">
        <v>813</v>
      </c>
    </row>
    <row r="13" spans="1:3" x14ac:dyDescent="0.25">
      <c r="B13" s="290">
        <v>43623</v>
      </c>
      <c r="C13" t="s">
        <v>773</v>
      </c>
    </row>
    <row r="14" spans="1:3" x14ac:dyDescent="0.25">
      <c r="B14" s="290">
        <v>43623</v>
      </c>
      <c r="C14" t="s">
        <v>774</v>
      </c>
    </row>
    <row r="15" spans="1:3" x14ac:dyDescent="0.25">
      <c r="A15" t="s">
        <v>761</v>
      </c>
      <c r="C15" t="s">
        <v>765</v>
      </c>
    </row>
    <row r="16" spans="1:3" x14ac:dyDescent="0.25">
      <c r="C16" t="s">
        <v>762</v>
      </c>
    </row>
    <row r="17" spans="1:3" x14ac:dyDescent="0.25">
      <c r="B17" s="334">
        <v>43517</v>
      </c>
      <c r="C17" t="s">
        <v>760</v>
      </c>
    </row>
    <row r="18" spans="1:3" x14ac:dyDescent="0.25">
      <c r="A18" t="s">
        <v>757</v>
      </c>
      <c r="B18" s="334">
        <v>43511</v>
      </c>
      <c r="C18" t="s">
        <v>758</v>
      </c>
    </row>
    <row r="19" spans="1:3" x14ac:dyDescent="0.25">
      <c r="A19" t="s">
        <v>754</v>
      </c>
      <c r="B19" s="334">
        <v>43503</v>
      </c>
      <c r="C19" t="s">
        <v>755</v>
      </c>
    </row>
    <row r="20" spans="1:3" x14ac:dyDescent="0.25">
      <c r="A20" t="s">
        <v>738</v>
      </c>
      <c r="B20" s="334">
        <v>43478</v>
      </c>
      <c r="C20" t="s">
        <v>739</v>
      </c>
    </row>
    <row r="21" spans="1:3" x14ac:dyDescent="0.25">
      <c r="A21" t="s">
        <v>736</v>
      </c>
      <c r="B21" s="334">
        <v>43455</v>
      </c>
      <c r="C21" s="403" t="s">
        <v>737</v>
      </c>
    </row>
    <row r="22" spans="1:3" x14ac:dyDescent="0.25">
      <c r="A22" t="s">
        <v>594</v>
      </c>
      <c r="B22" s="334">
        <v>43453</v>
      </c>
      <c r="C22" t="s">
        <v>598</v>
      </c>
    </row>
    <row r="23" spans="1:3" x14ac:dyDescent="0.25">
      <c r="A23" t="s">
        <v>534</v>
      </c>
      <c r="B23" s="334">
        <v>43452</v>
      </c>
      <c r="C23" t="s">
        <v>595</v>
      </c>
    </row>
    <row r="24" spans="1:3" x14ac:dyDescent="0.25">
      <c r="C24" t="s">
        <v>590</v>
      </c>
    </row>
    <row r="25" spans="1:3" x14ac:dyDescent="0.25">
      <c r="C25" t="s">
        <v>584</v>
      </c>
    </row>
    <row r="26" spans="1:3" x14ac:dyDescent="0.25">
      <c r="B26" s="334"/>
      <c r="C26" t="s">
        <v>583</v>
      </c>
    </row>
    <row r="27" spans="1:3" x14ac:dyDescent="0.25">
      <c r="C27" t="s">
        <v>580</v>
      </c>
    </row>
    <row r="28" spans="1:3" x14ac:dyDescent="0.25">
      <c r="B28" s="334">
        <v>43451</v>
      </c>
      <c r="C28" t="s">
        <v>535</v>
      </c>
    </row>
    <row r="29" spans="1:3" x14ac:dyDescent="0.25">
      <c r="B29" s="334"/>
      <c r="C29" t="s">
        <v>536</v>
      </c>
    </row>
    <row r="30" spans="1:3" x14ac:dyDescent="0.25">
      <c r="A30" t="s">
        <v>489</v>
      </c>
      <c r="B30" s="311">
        <v>43448</v>
      </c>
      <c r="C30" t="s">
        <v>490</v>
      </c>
    </row>
    <row r="31" spans="1:3" x14ac:dyDescent="0.25">
      <c r="B31" s="311"/>
      <c r="C31" t="s">
        <v>492</v>
      </c>
    </row>
    <row r="32" spans="1:3" x14ac:dyDescent="0.25">
      <c r="B32" s="311"/>
      <c r="C32" t="s">
        <v>496</v>
      </c>
    </row>
    <row r="33" spans="1:3" x14ac:dyDescent="0.25">
      <c r="B33" s="311"/>
      <c r="C33" t="s">
        <v>497</v>
      </c>
    </row>
    <row r="34" spans="1:3" x14ac:dyDescent="0.25">
      <c r="A34" t="s">
        <v>460</v>
      </c>
      <c r="B34" s="290">
        <v>43447</v>
      </c>
      <c r="C34" t="s">
        <v>461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sheetPr>
  <dimension ref="B1:F38"/>
  <sheetViews>
    <sheetView showGridLines="0" workbookViewId="0"/>
  </sheetViews>
  <sheetFormatPr defaultRowHeight="15" x14ac:dyDescent="0.25"/>
  <cols>
    <col min="2" max="2" width="16.140625" customWidth="1"/>
    <col min="3" max="3" width="31.28515625" customWidth="1"/>
    <col min="4" max="4" width="56.85546875" style="1" customWidth="1"/>
    <col min="5" max="5" width="64.140625" style="1" customWidth="1"/>
    <col min="6" max="6" width="58.7109375" style="1" customWidth="1"/>
    <col min="7" max="7" width="17.42578125" customWidth="1"/>
  </cols>
  <sheetData>
    <row r="1" spans="2:6" s="155" customFormat="1" x14ac:dyDescent="0.25">
      <c r="C1" s="156" t="s">
        <v>647</v>
      </c>
      <c r="F1" s="460"/>
    </row>
    <row r="2" spans="2:6" x14ac:dyDescent="0.25">
      <c r="B2" s="21"/>
      <c r="D2" s="458" t="s">
        <v>664</v>
      </c>
      <c r="E2" s="459"/>
    </row>
    <row r="4" spans="2:6" x14ac:dyDescent="0.25">
      <c r="B4" s="160" t="s">
        <v>649</v>
      </c>
      <c r="C4" s="160" t="s">
        <v>652</v>
      </c>
      <c r="D4" s="160" t="s">
        <v>650</v>
      </c>
      <c r="E4" s="160" t="s">
        <v>651</v>
      </c>
      <c r="F4" s="160" t="s">
        <v>702</v>
      </c>
    </row>
    <row r="5" spans="2:6" ht="30" x14ac:dyDescent="0.25">
      <c r="B5" s="203" t="s">
        <v>665</v>
      </c>
      <c r="C5" s="485" t="s">
        <v>653</v>
      </c>
      <c r="D5" s="485" t="s">
        <v>654</v>
      </c>
      <c r="E5" s="485" t="s">
        <v>661</v>
      </c>
      <c r="F5" s="203"/>
    </row>
    <row r="6" spans="2:6" ht="30" x14ac:dyDescent="0.25">
      <c r="B6" s="203" t="s">
        <v>701</v>
      </c>
      <c r="C6" s="485" t="s">
        <v>666</v>
      </c>
      <c r="D6" s="485" t="s">
        <v>667</v>
      </c>
      <c r="E6" s="485" t="s">
        <v>706</v>
      </c>
      <c r="F6" s="485" t="s">
        <v>703</v>
      </c>
    </row>
    <row r="7" spans="2:6" ht="30" x14ac:dyDescent="0.25">
      <c r="B7" s="203" t="s">
        <v>674</v>
      </c>
      <c r="C7" s="485" t="s">
        <v>662</v>
      </c>
      <c r="D7" s="485" t="s">
        <v>663</v>
      </c>
      <c r="E7" s="485"/>
      <c r="F7" s="203"/>
    </row>
    <row r="8" spans="2:6" ht="45" x14ac:dyDescent="0.25">
      <c r="B8" s="203" t="s">
        <v>705</v>
      </c>
      <c r="C8" s="485" t="s">
        <v>655</v>
      </c>
      <c r="D8" s="485" t="s">
        <v>656</v>
      </c>
      <c r="E8" s="485"/>
      <c r="F8" s="203"/>
    </row>
    <row r="9" spans="2:6" ht="45" x14ac:dyDescent="0.25">
      <c r="B9" s="203" t="s">
        <v>705</v>
      </c>
      <c r="C9" s="485" t="s">
        <v>659</v>
      </c>
      <c r="D9" s="485" t="s">
        <v>660</v>
      </c>
      <c r="E9" s="485"/>
      <c r="F9" s="203"/>
    </row>
    <row r="10" spans="2:6" ht="60" x14ac:dyDescent="0.25">
      <c r="B10" s="203" t="s">
        <v>705</v>
      </c>
      <c r="C10" s="485" t="s">
        <v>668</v>
      </c>
      <c r="D10" s="485" t="s">
        <v>669</v>
      </c>
      <c r="E10" s="485" t="s">
        <v>671</v>
      </c>
      <c r="F10" s="203"/>
    </row>
    <row r="11" spans="2:6" ht="30" x14ac:dyDescent="0.25">
      <c r="B11" s="203" t="s">
        <v>705</v>
      </c>
      <c r="C11" s="485" t="s">
        <v>676</v>
      </c>
      <c r="D11" s="485" t="s">
        <v>677</v>
      </c>
      <c r="E11" s="485"/>
      <c r="F11" s="203"/>
    </row>
    <row r="12" spans="2:6" x14ac:dyDescent="0.25">
      <c r="B12" s="203"/>
      <c r="C12" s="203"/>
      <c r="D12" s="485"/>
      <c r="E12" s="485"/>
      <c r="F12" s="485"/>
    </row>
    <row r="13" spans="2:6" x14ac:dyDescent="0.25">
      <c r="B13" s="203"/>
      <c r="C13" s="203"/>
      <c r="D13" s="485"/>
      <c r="E13" s="485"/>
      <c r="F13" s="485"/>
    </row>
    <row r="14" spans="2:6" x14ac:dyDescent="0.25">
      <c r="B14" s="203"/>
      <c r="C14" s="203"/>
      <c r="D14" s="485"/>
      <c r="E14" s="485"/>
      <c r="F14" s="485"/>
    </row>
    <row r="15" spans="2:6" x14ac:dyDescent="0.25">
      <c r="B15" s="203"/>
      <c r="C15" s="203"/>
      <c r="D15" s="485"/>
      <c r="E15" s="485"/>
      <c r="F15" s="485"/>
    </row>
    <row r="16" spans="2:6" x14ac:dyDescent="0.25">
      <c r="B16" s="203"/>
      <c r="C16" s="203"/>
      <c r="D16" s="485"/>
      <c r="E16" s="485"/>
      <c r="F16" s="485"/>
    </row>
    <row r="17" spans="2:6" x14ac:dyDescent="0.25">
      <c r="B17" s="203"/>
      <c r="C17" s="203"/>
      <c r="D17" s="485"/>
      <c r="E17" s="485"/>
      <c r="F17" s="485"/>
    </row>
    <row r="18" spans="2:6" x14ac:dyDescent="0.25">
      <c r="B18" s="203"/>
      <c r="C18" s="203"/>
      <c r="D18" s="485"/>
      <c r="E18" s="485"/>
      <c r="F18" s="485"/>
    </row>
    <row r="19" spans="2:6" x14ac:dyDescent="0.25">
      <c r="B19" s="203"/>
      <c r="C19" s="203"/>
      <c r="D19" s="485"/>
      <c r="E19" s="485"/>
      <c r="F19" s="485"/>
    </row>
    <row r="20" spans="2:6" x14ac:dyDescent="0.25">
      <c r="B20" s="203"/>
      <c r="C20" s="203"/>
      <c r="D20" s="485"/>
      <c r="E20" s="485"/>
      <c r="F20" s="485"/>
    </row>
    <row r="21" spans="2:6" x14ac:dyDescent="0.25">
      <c r="B21" s="203"/>
      <c r="C21" s="203"/>
      <c r="D21" s="485"/>
      <c r="E21" s="485"/>
      <c r="F21" s="485"/>
    </row>
    <row r="22" spans="2:6" x14ac:dyDescent="0.25">
      <c r="B22" s="203"/>
      <c r="C22" s="203"/>
      <c r="D22" s="485"/>
      <c r="E22" s="485"/>
      <c r="F22" s="485"/>
    </row>
    <row r="23" spans="2:6" x14ac:dyDescent="0.25">
      <c r="B23" s="203"/>
      <c r="C23" s="203"/>
      <c r="D23" s="485"/>
      <c r="E23" s="485"/>
      <c r="F23" s="485"/>
    </row>
    <row r="24" spans="2:6" x14ac:dyDescent="0.25">
      <c r="B24" s="203"/>
      <c r="C24" s="203"/>
      <c r="D24" s="485"/>
      <c r="E24" s="485"/>
      <c r="F24" s="485"/>
    </row>
    <row r="25" spans="2:6" x14ac:dyDescent="0.25">
      <c r="B25" s="203"/>
      <c r="C25" s="203"/>
      <c r="D25" s="485"/>
      <c r="E25" s="485"/>
      <c r="F25" s="485"/>
    </row>
    <row r="26" spans="2:6" x14ac:dyDescent="0.25">
      <c r="B26" s="203"/>
      <c r="C26" s="203"/>
      <c r="D26" s="485"/>
      <c r="E26" s="485"/>
      <c r="F26" s="485"/>
    </row>
    <row r="27" spans="2:6" x14ac:dyDescent="0.25">
      <c r="B27" s="203"/>
      <c r="C27" s="203"/>
      <c r="D27" s="485"/>
      <c r="E27" s="485"/>
      <c r="F27" s="485"/>
    </row>
    <row r="28" spans="2:6" x14ac:dyDescent="0.25">
      <c r="B28" s="203"/>
      <c r="C28" s="203"/>
      <c r="D28" s="485"/>
      <c r="E28" s="485"/>
      <c r="F28" s="485"/>
    </row>
    <row r="29" spans="2:6" x14ac:dyDescent="0.25">
      <c r="B29" s="203"/>
      <c r="C29" s="203"/>
      <c r="D29" s="485"/>
      <c r="E29" s="485"/>
      <c r="F29" s="485"/>
    </row>
    <row r="30" spans="2:6" x14ac:dyDescent="0.25">
      <c r="B30" s="203"/>
      <c r="C30" s="203"/>
      <c r="D30" s="485"/>
      <c r="E30" s="485"/>
      <c r="F30" s="485"/>
    </row>
    <row r="31" spans="2:6" x14ac:dyDescent="0.25">
      <c r="B31" s="203"/>
      <c r="C31" s="203"/>
      <c r="D31" s="485"/>
      <c r="E31" s="485"/>
      <c r="F31" s="485"/>
    </row>
    <row r="32" spans="2:6" x14ac:dyDescent="0.25">
      <c r="B32" s="203"/>
      <c r="C32" s="203"/>
      <c r="D32" s="485"/>
      <c r="E32" s="485"/>
      <c r="F32" s="485"/>
    </row>
    <row r="33" spans="2:6" x14ac:dyDescent="0.25">
      <c r="B33" s="203"/>
      <c r="C33" s="203"/>
      <c r="D33" s="485"/>
      <c r="E33" s="485"/>
      <c r="F33" s="485"/>
    </row>
    <row r="34" spans="2:6" x14ac:dyDescent="0.25">
      <c r="B34" s="203"/>
      <c r="C34" s="203"/>
      <c r="D34" s="485"/>
      <c r="E34" s="485"/>
      <c r="F34" s="485"/>
    </row>
    <row r="35" spans="2:6" x14ac:dyDescent="0.25">
      <c r="B35" s="203"/>
      <c r="C35" s="203"/>
      <c r="D35" s="485"/>
      <c r="E35" s="485"/>
      <c r="F35" s="485"/>
    </row>
    <row r="36" spans="2:6" x14ac:dyDescent="0.25">
      <c r="B36" s="203"/>
      <c r="C36" s="203"/>
      <c r="D36" s="485"/>
      <c r="E36" s="485"/>
      <c r="F36" s="485"/>
    </row>
    <row r="37" spans="2:6" x14ac:dyDescent="0.25">
      <c r="B37" s="203"/>
      <c r="C37" s="203"/>
      <c r="D37" s="485"/>
      <c r="E37" s="485"/>
      <c r="F37" s="485"/>
    </row>
    <row r="38" spans="2:6" x14ac:dyDescent="0.25">
      <c r="B38" s="203"/>
      <c r="C38" s="203"/>
      <c r="D38" s="485"/>
      <c r="E38" s="485"/>
      <c r="F38" s="48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99"/>
  </sheetPr>
  <dimension ref="B1:L65"/>
  <sheetViews>
    <sheetView showGridLines="0" topLeftCell="A34" workbookViewId="0"/>
  </sheetViews>
  <sheetFormatPr defaultRowHeight="15" x14ac:dyDescent="0.25"/>
  <cols>
    <col min="2" max="2" width="57.42578125" customWidth="1"/>
    <col min="3" max="6" width="15.7109375" customWidth="1"/>
  </cols>
  <sheetData>
    <row r="1" spans="2:9" x14ac:dyDescent="0.25">
      <c r="B1" s="21" t="s">
        <v>394</v>
      </c>
    </row>
    <row r="2" spans="2:9" x14ac:dyDescent="0.25">
      <c r="B2" t="s">
        <v>393</v>
      </c>
    </row>
    <row r="4" spans="2:9" s="155" customFormat="1" x14ac:dyDescent="0.25">
      <c r="B4" s="156" t="s">
        <v>300</v>
      </c>
    </row>
    <row r="6" spans="2:9" x14ac:dyDescent="0.25">
      <c r="B6" s="160" t="s">
        <v>165</v>
      </c>
      <c r="C6" s="166" t="s">
        <v>166</v>
      </c>
      <c r="D6" s="163" t="s">
        <v>167</v>
      </c>
    </row>
    <row r="7" spans="2:9" x14ac:dyDescent="0.25">
      <c r="B7" s="161" t="s">
        <v>119</v>
      </c>
      <c r="C7" s="167">
        <v>2500</v>
      </c>
      <c r="D7" s="164">
        <v>11900</v>
      </c>
      <c r="E7" s="23" t="s">
        <v>596</v>
      </c>
      <c r="I7" s="21"/>
    </row>
    <row r="8" spans="2:9" x14ac:dyDescent="0.25">
      <c r="B8" s="161" t="s">
        <v>189</v>
      </c>
      <c r="C8" s="167">
        <v>5200</v>
      </c>
      <c r="D8" s="164">
        <v>20000</v>
      </c>
      <c r="E8" t="s">
        <v>597</v>
      </c>
    </row>
    <row r="9" spans="2:9" x14ac:dyDescent="0.25">
      <c r="B9" s="161" t="s">
        <v>174</v>
      </c>
      <c r="C9" s="167">
        <f>C8</f>
        <v>5200</v>
      </c>
      <c r="D9" s="164">
        <v>25000</v>
      </c>
    </row>
    <row r="10" spans="2:9" x14ac:dyDescent="0.25">
      <c r="B10" s="161" t="s">
        <v>190</v>
      </c>
      <c r="C10" s="167">
        <v>10000</v>
      </c>
      <c r="D10" s="165">
        <f>45000</f>
        <v>45000</v>
      </c>
    </row>
    <row r="11" spans="2:9" x14ac:dyDescent="0.25">
      <c r="B11" s="161" t="s">
        <v>172</v>
      </c>
      <c r="C11" s="167">
        <v>10000</v>
      </c>
      <c r="D11" s="165">
        <v>55600</v>
      </c>
    </row>
    <row r="12" spans="2:9" x14ac:dyDescent="0.25">
      <c r="B12" s="161" t="s">
        <v>26</v>
      </c>
      <c r="C12" s="171">
        <v>2700</v>
      </c>
      <c r="D12" s="392">
        <v>11600</v>
      </c>
      <c r="E12" t="s">
        <v>592</v>
      </c>
    </row>
    <row r="13" spans="2:9" x14ac:dyDescent="0.25">
      <c r="B13" s="161" t="s">
        <v>169</v>
      </c>
      <c r="C13" s="171">
        <v>6200</v>
      </c>
      <c r="D13" s="393">
        <v>34200</v>
      </c>
      <c r="E13" t="s">
        <v>592</v>
      </c>
    </row>
    <row r="14" spans="2:9" x14ac:dyDescent="0.25">
      <c r="B14" s="162" t="s">
        <v>170</v>
      </c>
      <c r="C14" s="172">
        <v>19100</v>
      </c>
      <c r="D14" s="394">
        <v>53900</v>
      </c>
      <c r="E14" t="s">
        <v>593</v>
      </c>
    </row>
    <row r="16" spans="2:9" x14ac:dyDescent="0.25">
      <c r="B16" s="169" t="s">
        <v>187</v>
      </c>
      <c r="C16" s="159">
        <v>0.5</v>
      </c>
    </row>
    <row r="17" spans="2:12" x14ac:dyDescent="0.25">
      <c r="B17" s="169" t="s">
        <v>585</v>
      </c>
      <c r="C17" s="159">
        <v>0</v>
      </c>
      <c r="D17" s="848" t="s">
        <v>589</v>
      </c>
      <c r="E17" s="849"/>
      <c r="F17" s="849"/>
      <c r="G17" s="849"/>
      <c r="H17" s="849"/>
      <c r="I17" s="849"/>
      <c r="J17" s="849"/>
      <c r="K17" s="849"/>
      <c r="L17" s="850"/>
    </row>
    <row r="18" spans="2:12" s="155" customFormat="1" x14ac:dyDescent="0.25">
      <c r="B18" s="156" t="s">
        <v>103</v>
      </c>
    </row>
    <row r="20" spans="2:12" x14ac:dyDescent="0.25">
      <c r="B20" s="169" t="s">
        <v>297</v>
      </c>
      <c r="C20" s="158">
        <v>125</v>
      </c>
      <c r="D20" s="848" t="s">
        <v>299</v>
      </c>
      <c r="E20" s="849"/>
      <c r="F20" s="849"/>
      <c r="G20" s="849"/>
      <c r="H20" s="849"/>
      <c r="I20" s="849"/>
      <c r="J20" s="849"/>
      <c r="K20" s="849"/>
      <c r="L20" s="850"/>
    </row>
    <row r="22" spans="2:12" s="155" customFormat="1" x14ac:dyDescent="0.25">
      <c r="B22" s="156" t="s">
        <v>4</v>
      </c>
    </row>
    <row r="24" spans="2:12" x14ac:dyDescent="0.25">
      <c r="B24" s="169" t="s">
        <v>150</v>
      </c>
      <c r="C24" s="158">
        <v>485000</v>
      </c>
      <c r="D24" s="848" t="s">
        <v>148</v>
      </c>
      <c r="E24" s="849"/>
      <c r="F24" s="849"/>
      <c r="G24" s="849"/>
      <c r="H24" s="849"/>
      <c r="I24" s="849"/>
      <c r="J24" s="849"/>
      <c r="K24" s="849"/>
      <c r="L24" s="850"/>
    </row>
    <row r="25" spans="2:12" x14ac:dyDescent="0.25">
      <c r="B25" s="169" t="s">
        <v>63</v>
      </c>
      <c r="C25" s="175">
        <v>823</v>
      </c>
      <c r="D25" s="848" t="s">
        <v>164</v>
      </c>
      <c r="E25" s="849"/>
      <c r="F25" s="849"/>
      <c r="G25" s="849"/>
      <c r="H25" s="849"/>
      <c r="I25" s="849"/>
      <c r="J25" s="849"/>
      <c r="K25" s="849"/>
      <c r="L25" s="850"/>
    </row>
    <row r="26" spans="2:12" x14ac:dyDescent="0.25">
      <c r="B26" s="169" t="s">
        <v>498</v>
      </c>
      <c r="C26" s="173">
        <v>0.17</v>
      </c>
      <c r="D26" s="291" t="s">
        <v>494</v>
      </c>
      <c r="E26" s="292"/>
      <c r="F26" s="292"/>
      <c r="G26" s="292"/>
      <c r="H26" s="292"/>
      <c r="I26" s="292"/>
      <c r="J26" s="292"/>
      <c r="K26" s="292"/>
      <c r="L26" s="293"/>
    </row>
    <row r="27" spans="2:12" ht="28.15" customHeight="1" x14ac:dyDescent="0.25">
      <c r="B27" s="169" t="s">
        <v>102</v>
      </c>
      <c r="C27" s="158">
        <v>10000</v>
      </c>
      <c r="D27" s="851" t="s">
        <v>458</v>
      </c>
      <c r="E27" s="852"/>
      <c r="F27" s="852"/>
      <c r="G27" s="852"/>
      <c r="H27" s="852"/>
      <c r="I27" s="852"/>
      <c r="J27" s="852"/>
      <c r="K27" s="852"/>
      <c r="L27" s="852"/>
    </row>
    <row r="28" spans="2:12" ht="33" customHeight="1" x14ac:dyDescent="0.25"/>
    <row r="29" spans="2:12" x14ac:dyDescent="0.25">
      <c r="B29" s="169" t="s">
        <v>207</v>
      </c>
      <c r="C29" s="158">
        <f>ROUND((27486-11242)/4,-2)</f>
        <v>4100</v>
      </c>
      <c r="D29" s="848" t="s">
        <v>265</v>
      </c>
      <c r="E29" s="849"/>
      <c r="F29" s="849"/>
      <c r="G29" s="849"/>
      <c r="H29" s="849"/>
      <c r="I29" s="849"/>
      <c r="J29" s="849"/>
      <c r="K29" s="849"/>
      <c r="L29" s="850"/>
    </row>
    <row r="30" spans="2:12" x14ac:dyDescent="0.25">
      <c r="B30" s="169" t="s">
        <v>208</v>
      </c>
      <c r="C30" s="173">
        <v>1</v>
      </c>
      <c r="D30" s="848" t="s">
        <v>588</v>
      </c>
      <c r="E30" s="849"/>
      <c r="F30" s="849"/>
      <c r="G30" s="849"/>
      <c r="H30" s="849"/>
      <c r="I30" s="849"/>
      <c r="J30" s="849"/>
      <c r="K30" s="849"/>
      <c r="L30" s="850"/>
    </row>
    <row r="32" spans="2:12" x14ac:dyDescent="0.25">
      <c r="B32" s="169" t="s">
        <v>209</v>
      </c>
      <c r="C32" s="174">
        <v>1929</v>
      </c>
      <c r="D32" s="848" t="s">
        <v>164</v>
      </c>
      <c r="E32" s="849"/>
      <c r="F32" s="849"/>
      <c r="G32" s="849"/>
      <c r="H32" s="849"/>
      <c r="I32" s="849"/>
      <c r="J32" s="849"/>
      <c r="K32" s="849"/>
      <c r="L32" s="850"/>
    </row>
    <row r="33" spans="2:12" x14ac:dyDescent="0.25">
      <c r="B33" s="169" t="s">
        <v>210</v>
      </c>
      <c r="C33" s="175">
        <v>776</v>
      </c>
      <c r="D33" s="848" t="s">
        <v>184</v>
      </c>
      <c r="E33" s="849"/>
      <c r="F33" s="849"/>
      <c r="G33" s="849"/>
      <c r="H33" s="849"/>
      <c r="I33" s="849"/>
      <c r="J33" s="849"/>
      <c r="K33" s="849"/>
      <c r="L33" s="850"/>
    </row>
    <row r="35" spans="2:12" x14ac:dyDescent="0.25">
      <c r="B35" s="169" t="s">
        <v>361</v>
      </c>
      <c r="C35" s="174">
        <v>1500</v>
      </c>
      <c r="D35" s="848" t="s">
        <v>266</v>
      </c>
      <c r="E35" s="849"/>
      <c r="F35" s="849"/>
      <c r="G35" s="849"/>
      <c r="H35" s="849"/>
      <c r="I35" s="849"/>
      <c r="J35" s="849"/>
      <c r="K35" s="849"/>
      <c r="L35" s="850"/>
    </row>
    <row r="37" spans="2:12" s="155" customFormat="1" x14ac:dyDescent="0.25">
      <c r="B37" s="156" t="s">
        <v>3</v>
      </c>
    </row>
    <row r="39" spans="2:12" x14ac:dyDescent="0.25">
      <c r="B39" s="169" t="s">
        <v>61</v>
      </c>
      <c r="C39" s="158">
        <v>18000</v>
      </c>
      <c r="D39" s="848" t="s">
        <v>176</v>
      </c>
      <c r="E39" s="849"/>
      <c r="F39" s="849"/>
      <c r="G39" s="849"/>
      <c r="H39" s="849"/>
      <c r="I39" s="849"/>
      <c r="J39" s="849"/>
      <c r="K39" s="849"/>
      <c r="L39" s="850"/>
    </row>
    <row r="41" spans="2:12" x14ac:dyDescent="0.25">
      <c r="B41" s="160"/>
      <c r="C41" s="166" t="s">
        <v>94</v>
      </c>
      <c r="D41" s="163" t="s">
        <v>95</v>
      </c>
      <c r="E41" s="166" t="s">
        <v>96</v>
      </c>
      <c r="F41" s="163" t="s">
        <v>97</v>
      </c>
      <c r="G41" s="30"/>
    </row>
    <row r="42" spans="2:12" x14ac:dyDescent="0.25">
      <c r="B42" s="161" t="s">
        <v>115</v>
      </c>
      <c r="C42" s="167">
        <f>53+33+41 +85</f>
        <v>212</v>
      </c>
      <c r="D42" s="164">
        <f>53+33+41+85</f>
        <v>212</v>
      </c>
      <c r="E42" s="167">
        <f>53+33+41 + 85</f>
        <v>212</v>
      </c>
      <c r="F42" s="164">
        <f>53+33+41+85</f>
        <v>212</v>
      </c>
      <c r="G42" s="848" t="s">
        <v>180</v>
      </c>
      <c r="H42" s="849"/>
      <c r="I42" s="849"/>
      <c r="J42" s="849"/>
      <c r="K42" s="849"/>
      <c r="L42" s="850"/>
    </row>
    <row r="43" spans="2:12" x14ac:dyDescent="0.25">
      <c r="B43" s="162" t="s">
        <v>116</v>
      </c>
      <c r="C43" s="168">
        <f>36 +15</f>
        <v>51</v>
      </c>
      <c r="D43" s="176">
        <f>36+15</f>
        <v>51</v>
      </c>
      <c r="E43" s="168">
        <f>36+15</f>
        <v>51</v>
      </c>
      <c r="F43" s="176">
        <f>36+15</f>
        <v>51</v>
      </c>
      <c r="G43" s="848" t="s">
        <v>180</v>
      </c>
      <c r="H43" s="849"/>
      <c r="I43" s="849"/>
      <c r="J43" s="849"/>
      <c r="K43" s="849"/>
      <c r="L43" s="850"/>
    </row>
    <row r="45" spans="2:12" x14ac:dyDescent="0.25">
      <c r="B45" s="160"/>
      <c r="C45" s="166"/>
      <c r="D45" s="163" t="s">
        <v>177</v>
      </c>
    </row>
    <row r="46" spans="2:12" x14ac:dyDescent="0.25">
      <c r="B46" s="161" t="s">
        <v>179</v>
      </c>
      <c r="C46" s="177">
        <v>20</v>
      </c>
      <c r="D46" s="164">
        <v>175900</v>
      </c>
      <c r="E46" s="848" t="s">
        <v>176</v>
      </c>
      <c r="F46" s="849"/>
      <c r="G46" s="849"/>
      <c r="H46" s="849"/>
      <c r="I46" s="849"/>
      <c r="J46" s="849"/>
      <c r="K46" s="849"/>
      <c r="L46" s="850"/>
    </row>
    <row r="47" spans="2:12" x14ac:dyDescent="0.25">
      <c r="B47" s="162" t="s">
        <v>284</v>
      </c>
      <c r="C47" s="178">
        <v>31</v>
      </c>
      <c r="D47" s="176">
        <v>60000</v>
      </c>
      <c r="E47" s="848" t="s">
        <v>285</v>
      </c>
      <c r="F47" s="849"/>
      <c r="G47" s="849"/>
      <c r="H47" s="849"/>
      <c r="I47" s="849"/>
      <c r="J47" s="849"/>
      <c r="K47" s="849"/>
      <c r="L47" s="850"/>
    </row>
    <row r="49" spans="2:12" ht="30" x14ac:dyDescent="0.25">
      <c r="B49" s="179" t="s">
        <v>80</v>
      </c>
      <c r="C49" s="183">
        <v>0</v>
      </c>
      <c r="D49" s="842" t="s">
        <v>176</v>
      </c>
      <c r="E49" s="843"/>
      <c r="F49" s="843"/>
      <c r="G49" s="843"/>
      <c r="H49" s="843"/>
      <c r="I49" s="843"/>
      <c r="J49" s="843"/>
      <c r="K49" s="843"/>
      <c r="L49" s="844"/>
    </row>
    <row r="50" spans="2:12" x14ac:dyDescent="0.25">
      <c r="B50" s="179" t="s">
        <v>182</v>
      </c>
      <c r="C50" s="184">
        <v>726000</v>
      </c>
      <c r="D50" s="842" t="s">
        <v>176</v>
      </c>
      <c r="E50" s="843"/>
      <c r="F50" s="843"/>
      <c r="G50" s="843"/>
      <c r="H50" s="843"/>
      <c r="I50" s="843"/>
      <c r="J50" s="843"/>
      <c r="K50" s="843"/>
      <c r="L50" s="844"/>
    </row>
    <row r="51" spans="2:12" ht="30" x14ac:dyDescent="0.25">
      <c r="B51" s="179" t="s">
        <v>278</v>
      </c>
      <c r="C51" s="183">
        <v>0</v>
      </c>
      <c r="D51" s="845" t="s">
        <v>279</v>
      </c>
      <c r="E51" s="846"/>
      <c r="F51" s="846"/>
      <c r="G51" s="846"/>
      <c r="H51" s="846"/>
      <c r="I51" s="846"/>
      <c r="J51" s="846"/>
      <c r="K51" s="846"/>
      <c r="L51" s="847"/>
    </row>
    <row r="52" spans="2:12" ht="30" x14ac:dyDescent="0.25">
      <c r="B52" s="179" t="s">
        <v>277</v>
      </c>
      <c r="C52" s="184">
        <v>1725</v>
      </c>
      <c r="D52" s="842" t="s">
        <v>203</v>
      </c>
      <c r="E52" s="843"/>
      <c r="F52" s="843"/>
      <c r="G52" s="843"/>
      <c r="H52" s="843"/>
      <c r="I52" s="843"/>
      <c r="J52" s="843"/>
      <c r="K52" s="843"/>
      <c r="L52" s="844"/>
    </row>
    <row r="54" spans="2:12" s="156" customFormat="1" x14ac:dyDescent="0.25">
      <c r="B54" s="156" t="s">
        <v>26</v>
      </c>
    </row>
    <row r="56" spans="2:12" x14ac:dyDescent="0.25">
      <c r="B56" s="179" t="s">
        <v>269</v>
      </c>
      <c r="C56" s="180">
        <v>35</v>
      </c>
      <c r="D56" s="842" t="s">
        <v>268</v>
      </c>
      <c r="E56" s="843"/>
      <c r="F56" s="843"/>
      <c r="G56" s="843"/>
      <c r="H56" s="843"/>
      <c r="I56" s="843"/>
      <c r="J56" s="843"/>
      <c r="K56" s="843"/>
      <c r="L56" s="844"/>
    </row>
    <row r="57" spans="2:12" x14ac:dyDescent="0.25">
      <c r="B57" s="179" t="s">
        <v>270</v>
      </c>
      <c r="C57" s="181">
        <v>40</v>
      </c>
      <c r="D57" s="842"/>
      <c r="E57" s="843"/>
      <c r="F57" s="843"/>
      <c r="G57" s="843"/>
      <c r="H57" s="843"/>
      <c r="I57" s="843"/>
      <c r="J57" s="843"/>
      <c r="K57" s="843"/>
      <c r="L57" s="844"/>
    </row>
    <row r="58" spans="2:12" x14ac:dyDescent="0.25">
      <c r="B58" s="179" t="s">
        <v>271</v>
      </c>
      <c r="C58" s="180">
        <v>12000</v>
      </c>
      <c r="D58" s="845"/>
      <c r="E58" s="846"/>
      <c r="F58" s="846"/>
      <c r="G58" s="846"/>
      <c r="H58" s="846"/>
      <c r="I58" s="846"/>
      <c r="J58" s="846"/>
      <c r="K58" s="846"/>
      <c r="L58" s="847"/>
    </row>
    <row r="59" spans="2:12" x14ac:dyDescent="0.25">
      <c r="B59" s="179" t="s">
        <v>272</v>
      </c>
      <c r="C59" s="182">
        <v>5.5</v>
      </c>
      <c r="D59" s="842"/>
      <c r="E59" s="843"/>
      <c r="F59" s="843"/>
      <c r="G59" s="843"/>
      <c r="H59" s="843"/>
      <c r="I59" s="843"/>
      <c r="J59" s="843"/>
      <c r="K59" s="843"/>
      <c r="L59" s="844"/>
    </row>
    <row r="61" spans="2:12" s="156" customFormat="1" x14ac:dyDescent="0.25">
      <c r="B61" s="156" t="s">
        <v>27</v>
      </c>
    </row>
    <row r="63" spans="2:12" x14ac:dyDescent="0.25">
      <c r="B63" s="179" t="s">
        <v>77</v>
      </c>
      <c r="C63" s="185">
        <v>1</v>
      </c>
      <c r="D63" s="842" t="s">
        <v>127</v>
      </c>
      <c r="E63" s="843"/>
      <c r="F63" s="843"/>
      <c r="G63" s="843"/>
      <c r="H63" s="843"/>
      <c r="I63" s="843"/>
      <c r="J63" s="843"/>
      <c r="K63" s="843"/>
      <c r="L63" s="844"/>
    </row>
    <row r="64" spans="2:12" x14ac:dyDescent="0.25">
      <c r="B64" s="179" t="s">
        <v>222</v>
      </c>
      <c r="C64" s="184">
        <v>400</v>
      </c>
      <c r="D64" s="842" t="s">
        <v>298</v>
      </c>
      <c r="E64" s="843"/>
      <c r="F64" s="843"/>
      <c r="G64" s="843"/>
      <c r="H64" s="843"/>
      <c r="I64" s="843"/>
      <c r="J64" s="843"/>
      <c r="K64" s="843"/>
      <c r="L64" s="844"/>
    </row>
    <row r="65" spans="2:12" x14ac:dyDescent="0.25">
      <c r="B65" s="179" t="s">
        <v>223</v>
      </c>
      <c r="C65" s="183">
        <v>800</v>
      </c>
      <c r="D65" s="845" t="s">
        <v>298</v>
      </c>
      <c r="E65" s="846"/>
      <c r="F65" s="846"/>
      <c r="G65" s="846"/>
      <c r="H65" s="846"/>
      <c r="I65" s="846"/>
      <c r="J65" s="846"/>
      <c r="K65" s="846"/>
      <c r="L65" s="847"/>
    </row>
  </sheetData>
  <mergeCells count="26">
    <mergeCell ref="D17:L17"/>
    <mergeCell ref="D30:L30"/>
    <mergeCell ref="D20:L20"/>
    <mergeCell ref="D24:L24"/>
    <mergeCell ref="D25:L25"/>
    <mergeCell ref="D27:L27"/>
    <mergeCell ref="D29:L29"/>
    <mergeCell ref="D51:L51"/>
    <mergeCell ref="D32:L32"/>
    <mergeCell ref="D33:L33"/>
    <mergeCell ref="D35:L35"/>
    <mergeCell ref="D39:L39"/>
    <mergeCell ref="G42:L42"/>
    <mergeCell ref="G43:L43"/>
    <mergeCell ref="E46:L46"/>
    <mergeCell ref="E47:L47"/>
    <mergeCell ref="D49:L49"/>
    <mergeCell ref="D50:L50"/>
    <mergeCell ref="D64:L64"/>
    <mergeCell ref="D65:L65"/>
    <mergeCell ref="D52:L52"/>
    <mergeCell ref="D56:L56"/>
    <mergeCell ref="D57:L57"/>
    <mergeCell ref="D58:L58"/>
    <mergeCell ref="D59:L59"/>
    <mergeCell ref="D63:L6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99"/>
  </sheetPr>
  <dimension ref="B1:L86"/>
  <sheetViews>
    <sheetView showGridLines="0" topLeftCell="A25" zoomScale="85" zoomScaleNormal="85" workbookViewId="0">
      <selection activeCell="F47" sqref="F47"/>
    </sheetView>
  </sheetViews>
  <sheetFormatPr defaultRowHeight="15" x14ac:dyDescent="0.25"/>
  <cols>
    <col min="2" max="2" width="57.42578125" customWidth="1"/>
    <col min="3" max="5" width="15.7109375" customWidth="1"/>
    <col min="6" max="6" width="17.7109375" customWidth="1"/>
  </cols>
  <sheetData>
    <row r="1" spans="2:6" x14ac:dyDescent="0.25">
      <c r="B1" s="21" t="s">
        <v>391</v>
      </c>
    </row>
    <row r="2" spans="2:6" x14ac:dyDescent="0.25">
      <c r="B2" t="s">
        <v>392</v>
      </c>
    </row>
    <row r="4" spans="2:6" s="155" customFormat="1" x14ac:dyDescent="0.25">
      <c r="B4" s="156" t="s">
        <v>300</v>
      </c>
    </row>
    <row r="6" spans="2:6" x14ac:dyDescent="0.25">
      <c r="B6" s="160" t="s">
        <v>165</v>
      </c>
      <c r="C6" s="166" t="s">
        <v>166</v>
      </c>
      <c r="D6" s="163" t="s">
        <v>167</v>
      </c>
      <c r="E6" s="163" t="s">
        <v>168</v>
      </c>
      <c r="F6" s="163" t="s">
        <v>171</v>
      </c>
    </row>
    <row r="7" spans="2:6" x14ac:dyDescent="0.25">
      <c r="B7" s="161" t="s">
        <v>119</v>
      </c>
      <c r="C7" s="170">
        <f>INP_Fleet_Assumptions!C7</f>
        <v>2500</v>
      </c>
      <c r="D7" s="170">
        <f>INP_Fleet_Assumptions!D7</f>
        <v>11900</v>
      </c>
      <c r="E7" s="187">
        <f>D7-C7</f>
        <v>9400</v>
      </c>
      <c r="F7" s="187">
        <f t="shared" ref="F7:F14" si="0">E7/2</f>
        <v>4700</v>
      </c>
    </row>
    <row r="8" spans="2:6" x14ac:dyDescent="0.25">
      <c r="B8" s="161" t="s">
        <v>189</v>
      </c>
      <c r="C8" s="171">
        <f>INP_Fleet_Assumptions!C8</f>
        <v>5200</v>
      </c>
      <c r="D8" s="171">
        <f>INP_Fleet_Assumptions!D8</f>
        <v>20000</v>
      </c>
      <c r="E8" s="187">
        <f>D8-C8</f>
        <v>14800</v>
      </c>
      <c r="F8" s="187">
        <f t="shared" si="0"/>
        <v>7400</v>
      </c>
    </row>
    <row r="9" spans="2:6" x14ac:dyDescent="0.25">
      <c r="B9" s="161" t="s">
        <v>174</v>
      </c>
      <c r="C9" s="171">
        <f>INP_Fleet_Assumptions!C9</f>
        <v>5200</v>
      </c>
      <c r="D9" s="171">
        <f>INP_Fleet_Assumptions!D9</f>
        <v>25000</v>
      </c>
      <c r="E9" s="187">
        <f>D9-C9</f>
        <v>19800</v>
      </c>
      <c r="F9" s="187">
        <f t="shared" si="0"/>
        <v>9900</v>
      </c>
    </row>
    <row r="10" spans="2:6" x14ac:dyDescent="0.25">
      <c r="B10" s="161" t="s">
        <v>190</v>
      </c>
      <c r="C10" s="171">
        <f>INP_Fleet_Assumptions!C10*INP_Fleet_Assumptions!$C$16</f>
        <v>5000</v>
      </c>
      <c r="D10" s="171">
        <f>INP_Fleet_Assumptions!D10</f>
        <v>45000</v>
      </c>
      <c r="E10" s="188">
        <f>(D10-C10)</f>
        <v>40000</v>
      </c>
      <c r="F10" s="188">
        <f t="shared" si="0"/>
        <v>20000</v>
      </c>
    </row>
    <row r="11" spans="2:6" x14ac:dyDescent="0.25">
      <c r="B11" s="161" t="s">
        <v>172</v>
      </c>
      <c r="C11" s="171">
        <f>INP_Fleet_Assumptions!C11*INP_Fleet_Assumptions!$C$16</f>
        <v>5000</v>
      </c>
      <c r="D11" s="171">
        <f>INP_Fleet_Assumptions!D11</f>
        <v>55600</v>
      </c>
      <c r="E11" s="188">
        <f>(D11-C11)</f>
        <v>50600</v>
      </c>
      <c r="F11" s="188">
        <f t="shared" si="0"/>
        <v>25300</v>
      </c>
    </row>
    <row r="12" spans="2:6" x14ac:dyDescent="0.25">
      <c r="B12" s="161" t="s">
        <v>26</v>
      </c>
      <c r="C12" s="171">
        <f>INP_Fleet_Assumptions!C12</f>
        <v>2700</v>
      </c>
      <c r="D12" s="171">
        <f>INP_Fleet_Assumptions!D12</f>
        <v>11600</v>
      </c>
      <c r="E12" s="187">
        <f>D12-C12</f>
        <v>8900</v>
      </c>
      <c r="F12" s="187">
        <f t="shared" si="0"/>
        <v>4450</v>
      </c>
    </row>
    <row r="13" spans="2:6" x14ac:dyDescent="0.25">
      <c r="B13" s="161" t="s">
        <v>169</v>
      </c>
      <c r="C13" s="171">
        <f>INP_Fleet_Assumptions!C13</f>
        <v>6200</v>
      </c>
      <c r="D13" s="171">
        <f>INP_Fleet_Assumptions!D13</f>
        <v>34200</v>
      </c>
      <c r="E13" s="188">
        <f>D13-C13</f>
        <v>28000</v>
      </c>
      <c r="F13" s="188">
        <f t="shared" si="0"/>
        <v>14000</v>
      </c>
    </row>
    <row r="14" spans="2:6" x14ac:dyDescent="0.25">
      <c r="B14" s="162" t="s">
        <v>170</v>
      </c>
      <c r="C14" s="172">
        <f>INP_Fleet_Assumptions!C14</f>
        <v>19100</v>
      </c>
      <c r="D14" s="172">
        <f>INP_Fleet_Assumptions!D14</f>
        <v>53900</v>
      </c>
      <c r="E14" s="189">
        <f>D14-C14</f>
        <v>34800</v>
      </c>
      <c r="F14" s="189">
        <f t="shared" si="0"/>
        <v>17400</v>
      </c>
    </row>
    <row r="16" spans="2:6" s="155" customFormat="1" x14ac:dyDescent="0.25">
      <c r="B16" s="156" t="s">
        <v>103</v>
      </c>
    </row>
    <row r="18" spans="2:12" x14ac:dyDescent="0.25">
      <c r="B18" s="169" t="s">
        <v>173</v>
      </c>
      <c r="C18" s="186">
        <f>F7</f>
        <v>4700</v>
      </c>
      <c r="D18" s="848" t="s">
        <v>76</v>
      </c>
      <c r="E18" s="849"/>
      <c r="F18" s="849"/>
      <c r="G18" s="849"/>
      <c r="H18" s="849"/>
      <c r="I18" s="849"/>
      <c r="J18" s="849"/>
      <c r="K18" s="849"/>
      <c r="L18" s="850"/>
    </row>
    <row r="19" spans="2:12" x14ac:dyDescent="0.25">
      <c r="B19" s="169" t="s">
        <v>297</v>
      </c>
      <c r="C19" s="186">
        <f>INP_Fleet_Assumptions!C17*INP_Fleet_Assumptions!C20</f>
        <v>0</v>
      </c>
      <c r="D19" s="848" t="str">
        <f>INP_Fleet_Assumptions!D20</f>
        <v>pa (Assumption)</v>
      </c>
      <c r="E19" s="849"/>
      <c r="F19" s="849"/>
      <c r="G19" s="849"/>
      <c r="H19" s="849"/>
      <c r="I19" s="849"/>
      <c r="J19" s="849"/>
      <c r="K19" s="849"/>
      <c r="L19" s="850"/>
    </row>
    <row r="21" spans="2:12" s="155" customFormat="1" x14ac:dyDescent="0.25">
      <c r="B21" s="156" t="s">
        <v>4</v>
      </c>
    </row>
    <row r="23" spans="2:12" x14ac:dyDescent="0.25">
      <c r="B23" s="169" t="s">
        <v>150</v>
      </c>
      <c r="C23" s="186">
        <f>INP_Fleet_Assumptions!C24</f>
        <v>485000</v>
      </c>
      <c r="D23" s="848" t="str">
        <f>INP_Fleet_Assumptions!D24</f>
        <v>Actual</v>
      </c>
      <c r="E23" s="849"/>
      <c r="F23" s="849"/>
      <c r="G23" s="849"/>
      <c r="H23" s="849"/>
      <c r="I23" s="849"/>
      <c r="J23" s="849"/>
      <c r="K23" s="849"/>
      <c r="L23" s="850"/>
    </row>
    <row r="24" spans="2:12" x14ac:dyDescent="0.25">
      <c r="B24" s="169" t="s">
        <v>63</v>
      </c>
      <c r="C24" s="190">
        <f>INP_Fleet_Assumptions!C25</f>
        <v>823</v>
      </c>
      <c r="D24" s="848" t="str">
        <f>INP_Fleet_Assumptions!D25</f>
        <v>Email from Craig Harper to JM 27/11/18</v>
      </c>
      <c r="E24" s="849"/>
      <c r="F24" s="849"/>
      <c r="G24" s="849"/>
      <c r="H24" s="849"/>
      <c r="I24" s="849"/>
      <c r="J24" s="849"/>
      <c r="K24" s="849"/>
      <c r="L24" s="850"/>
    </row>
    <row r="25" spans="2:12" x14ac:dyDescent="0.25">
      <c r="B25" s="169" t="s">
        <v>495</v>
      </c>
      <c r="C25" s="68">
        <f>INP_Fleet_Assumptions!C26</f>
        <v>0.17</v>
      </c>
      <c r="D25" s="848" t="str">
        <f>INP_Fleet_Assumptions!D26</f>
        <v>Email exchange 14/12/18</v>
      </c>
      <c r="E25" s="849"/>
      <c r="F25" s="849"/>
      <c r="G25" s="849"/>
      <c r="H25" s="849"/>
      <c r="I25" s="849"/>
      <c r="J25" s="849"/>
      <c r="K25" s="849"/>
      <c r="L25" s="850"/>
    </row>
    <row r="26" spans="2:12" x14ac:dyDescent="0.25">
      <c r="C26" s="23"/>
    </row>
    <row r="27" spans="2:12" x14ac:dyDescent="0.25">
      <c r="B27" s="169" t="s">
        <v>102</v>
      </c>
      <c r="C27" s="186">
        <f>INP_Fleet_Assumptions!C27</f>
        <v>10000</v>
      </c>
      <c r="D27" s="848" t="str">
        <f>INP_Fleet_Assumptions!D27</f>
        <v>Email from OO 12/12/18 (NB No 'missing' benefits, so full cost of retrofit should be used as the perceived cost) - may want to do something with the VAT - tbc</v>
      </c>
      <c r="E27" s="849"/>
      <c r="F27" s="849"/>
      <c r="G27" s="849"/>
      <c r="H27" s="849"/>
      <c r="I27" s="849"/>
      <c r="J27" s="849"/>
      <c r="K27" s="849"/>
      <c r="L27" s="850"/>
    </row>
    <row r="28" spans="2:12" x14ac:dyDescent="0.25">
      <c r="B28" s="169" t="s">
        <v>175</v>
      </c>
      <c r="C28" s="186">
        <f>F11</f>
        <v>25300</v>
      </c>
      <c r="D28" s="848" t="s">
        <v>76</v>
      </c>
      <c r="E28" s="849"/>
      <c r="F28" s="849"/>
      <c r="G28" s="849"/>
      <c r="H28" s="849"/>
      <c r="I28" s="849"/>
      <c r="J28" s="849"/>
      <c r="K28" s="849"/>
      <c r="L28" s="850"/>
    </row>
    <row r="29" spans="2:12" x14ac:dyDescent="0.25">
      <c r="B29" s="169" t="s">
        <v>191</v>
      </c>
      <c r="C29" s="186">
        <f>F10</f>
        <v>20000</v>
      </c>
      <c r="D29" s="848" t="s">
        <v>76</v>
      </c>
      <c r="E29" s="849"/>
      <c r="F29" s="849"/>
      <c r="G29" s="849"/>
      <c r="H29" s="849"/>
      <c r="I29" s="849"/>
      <c r="J29" s="849"/>
      <c r="K29" s="849"/>
      <c r="L29" s="850"/>
    </row>
    <row r="30" spans="2:12" x14ac:dyDescent="0.25">
      <c r="C30" s="23"/>
    </row>
    <row r="31" spans="2:12" x14ac:dyDescent="0.25">
      <c r="B31" s="169" t="s">
        <v>207</v>
      </c>
      <c r="C31" s="191">
        <f>INP_Fleet_Assumptions!C29</f>
        <v>4100</v>
      </c>
      <c r="D31" s="848" t="str">
        <f>INP_Fleet_Assumptions!D29</f>
        <v>Low Emission Taxi Guide - October 2018</v>
      </c>
      <c r="E31" s="849"/>
      <c r="F31" s="849"/>
      <c r="G31" s="849"/>
      <c r="H31" s="849"/>
      <c r="I31" s="849"/>
      <c r="J31" s="849"/>
      <c r="K31" s="849"/>
      <c r="L31" s="850"/>
    </row>
    <row r="32" spans="2:12" x14ac:dyDescent="0.25">
      <c r="B32" s="169" t="s">
        <v>208</v>
      </c>
      <c r="C32" s="68">
        <f>INP_Fleet_Assumptions!C30</f>
        <v>1</v>
      </c>
      <c r="D32" s="848" t="str">
        <f>INP_Fleet_Assumptions!D30</f>
        <v>No reduction - assume the price of an electric taxi fully reflects its perceived value and there is no disbenefit from moving to an electric vehicle</v>
      </c>
      <c r="E32" s="849"/>
      <c r="F32" s="849"/>
      <c r="G32" s="849"/>
      <c r="H32" s="849"/>
      <c r="I32" s="849"/>
      <c r="J32" s="849"/>
      <c r="K32" s="849"/>
      <c r="L32" s="850"/>
    </row>
    <row r="33" spans="2:12" x14ac:dyDescent="0.25">
      <c r="B33" s="169" t="s">
        <v>383</v>
      </c>
      <c r="C33" s="191">
        <f>PRO_Fleet_Assumptions!C31*PRO_Fleet_Assumptions!C32</f>
        <v>4100</v>
      </c>
      <c r="D33" s="848" t="s">
        <v>384</v>
      </c>
      <c r="E33" s="849"/>
      <c r="F33" s="849"/>
      <c r="G33" s="849"/>
      <c r="H33" s="849"/>
      <c r="I33" s="849"/>
      <c r="J33" s="849"/>
      <c r="K33" s="849"/>
      <c r="L33" s="850"/>
    </row>
    <row r="34" spans="2:12" x14ac:dyDescent="0.25">
      <c r="C34" s="23"/>
    </row>
    <row r="35" spans="2:12" x14ac:dyDescent="0.25">
      <c r="B35" s="169" t="s">
        <v>290</v>
      </c>
      <c r="C35" s="191">
        <f>F9</f>
        <v>9900</v>
      </c>
      <c r="D35" s="848" t="s">
        <v>185</v>
      </c>
      <c r="E35" s="849"/>
      <c r="F35" s="849"/>
      <c r="G35" s="849"/>
      <c r="H35" s="849"/>
      <c r="I35" s="849"/>
      <c r="J35" s="849"/>
      <c r="K35" s="849"/>
      <c r="L35" s="850"/>
    </row>
    <row r="36" spans="2:12" x14ac:dyDescent="0.25">
      <c r="B36" s="169" t="s">
        <v>291</v>
      </c>
      <c r="C36" s="191">
        <f>F8</f>
        <v>7400</v>
      </c>
      <c r="D36" s="848" t="s">
        <v>185</v>
      </c>
      <c r="E36" s="849"/>
      <c r="F36" s="849"/>
      <c r="G36" s="849"/>
      <c r="H36" s="849"/>
      <c r="I36" s="849"/>
      <c r="J36" s="849"/>
      <c r="K36" s="849"/>
      <c r="L36" s="850"/>
    </row>
    <row r="37" spans="2:12" x14ac:dyDescent="0.25">
      <c r="B37" s="169" t="s">
        <v>209</v>
      </c>
      <c r="C37" s="192">
        <f>INP_Fleet_Assumptions!C32</f>
        <v>1929</v>
      </c>
      <c r="D37" s="848" t="str">
        <f>INP_Fleet_Assumptions!D32</f>
        <v>Email from Craig Harper to JM 27/11/18</v>
      </c>
      <c r="E37" s="849"/>
      <c r="F37" s="849"/>
      <c r="G37" s="849"/>
      <c r="H37" s="849"/>
      <c r="I37" s="849"/>
      <c r="J37" s="849"/>
      <c r="K37" s="849"/>
      <c r="L37" s="850"/>
    </row>
    <row r="38" spans="2:12" x14ac:dyDescent="0.25">
      <c r="B38" s="169" t="s">
        <v>210</v>
      </c>
      <c r="C38" s="192">
        <f>INP_Fleet_Assumptions!C33</f>
        <v>776</v>
      </c>
      <c r="D38" s="848" t="str">
        <f>INP_Fleet_Assumptions!D33</f>
        <v>Number of RMBC PHVs (in list of number plates provided by SCC/RMBC)</v>
      </c>
      <c r="E38" s="849"/>
      <c r="F38" s="849"/>
      <c r="G38" s="849"/>
      <c r="H38" s="849"/>
      <c r="I38" s="849"/>
      <c r="J38" s="849"/>
      <c r="K38" s="849"/>
      <c r="L38" s="850"/>
    </row>
    <row r="39" spans="2:12" x14ac:dyDescent="0.25">
      <c r="B39" s="169" t="s">
        <v>361</v>
      </c>
      <c r="C39" s="193">
        <f>INP_Fleet_Assumptions!C35</f>
        <v>1500</v>
      </c>
      <c r="D39" s="848" t="str">
        <f>INP_Fleet_Assumptions!D35</f>
        <v>Average of Nissan Leaf &amp; Tesla S75D vs a Skoda Octavia - Low Emission Taxi Guide - October 2018</v>
      </c>
      <c r="E39" s="849"/>
      <c r="F39" s="849"/>
      <c r="G39" s="849"/>
      <c r="H39" s="849"/>
      <c r="I39" s="849"/>
      <c r="J39" s="849"/>
      <c r="K39" s="849"/>
      <c r="L39" s="850"/>
    </row>
    <row r="40" spans="2:12" x14ac:dyDescent="0.25">
      <c r="B40" s="169" t="s">
        <v>385</v>
      </c>
      <c r="C40" s="194">
        <f>C39*C32</f>
        <v>1500</v>
      </c>
      <c r="D40" s="848" t="s">
        <v>384</v>
      </c>
      <c r="E40" s="849"/>
      <c r="F40" s="849"/>
      <c r="G40" s="849"/>
      <c r="H40" s="849"/>
      <c r="I40" s="849"/>
      <c r="J40" s="849"/>
      <c r="K40" s="849"/>
      <c r="L40" s="850"/>
    </row>
    <row r="42" spans="2:12" s="155" customFormat="1" x14ac:dyDescent="0.25">
      <c r="B42" s="156" t="s">
        <v>3</v>
      </c>
    </row>
    <row r="44" spans="2:12" x14ac:dyDescent="0.25">
      <c r="B44" s="169" t="s">
        <v>61</v>
      </c>
      <c r="C44" s="191">
        <f>INP_Fleet_Assumptions!C39</f>
        <v>18000</v>
      </c>
      <c r="D44" s="848" t="str">
        <f>INP_Fleet_Assumptions!D39</f>
        <v>Stagecoach spreadsheet in email from TFS  27/11/18</v>
      </c>
      <c r="E44" s="849"/>
      <c r="F44" s="849"/>
      <c r="G44" s="849"/>
      <c r="H44" s="849"/>
      <c r="I44" s="849"/>
      <c r="J44" s="849"/>
      <c r="K44" s="849"/>
      <c r="L44" s="850"/>
    </row>
    <row r="46" spans="2:12" x14ac:dyDescent="0.25">
      <c r="B46" s="160"/>
      <c r="C46" s="160" t="s">
        <v>94</v>
      </c>
      <c r="D46" s="160" t="s">
        <v>95</v>
      </c>
      <c r="E46" s="160" t="s">
        <v>96</v>
      </c>
      <c r="F46" s="160" t="s">
        <v>97</v>
      </c>
      <c r="G46" s="30"/>
    </row>
    <row r="47" spans="2:12" x14ac:dyDescent="0.25">
      <c r="B47" s="161" t="s">
        <v>115</v>
      </c>
      <c r="C47" s="195">
        <f>INP_Fleet_Assumptions!C42</f>
        <v>212</v>
      </c>
      <c r="D47" s="195">
        <f>INP_Fleet_Assumptions!D42</f>
        <v>212</v>
      </c>
      <c r="E47" s="34">
        <f>INP_Fleet_Assumptions!E42</f>
        <v>212</v>
      </c>
      <c r="F47" s="195">
        <f>INP_Fleet_Assumptions!F42</f>
        <v>212</v>
      </c>
      <c r="G47" s="848" t="str">
        <f>INP_Fleet_Assumptions!G42</f>
        <v>Emails from TFS  27/11/18</v>
      </c>
      <c r="H47" s="849"/>
      <c r="I47" s="849"/>
      <c r="J47" s="849"/>
      <c r="K47" s="849"/>
      <c r="L47" s="850"/>
    </row>
    <row r="48" spans="2:12" x14ac:dyDescent="0.25">
      <c r="B48" s="162" t="s">
        <v>116</v>
      </c>
      <c r="C48" s="34">
        <f>INP_Fleet_Assumptions!C43</f>
        <v>51</v>
      </c>
      <c r="D48" s="34">
        <f>INP_Fleet_Assumptions!D43</f>
        <v>51</v>
      </c>
      <c r="E48" s="195">
        <f>INP_Fleet_Assumptions!E43</f>
        <v>51</v>
      </c>
      <c r="F48" s="34">
        <f>INP_Fleet_Assumptions!F43</f>
        <v>51</v>
      </c>
      <c r="G48" s="848" t="str">
        <f>INP_Fleet_Assumptions!G43</f>
        <v>Emails from TFS  27/11/18</v>
      </c>
      <c r="H48" s="849"/>
      <c r="I48" s="849"/>
      <c r="J48" s="849"/>
      <c r="K48" s="849"/>
      <c r="L48" s="850"/>
    </row>
    <row r="49" spans="2:12" x14ac:dyDescent="0.25">
      <c r="C49" s="196"/>
      <c r="E49" s="197"/>
    </row>
    <row r="50" spans="2:12" x14ac:dyDescent="0.25">
      <c r="B50" s="160"/>
      <c r="C50" s="160"/>
      <c r="D50" s="160" t="s">
        <v>177</v>
      </c>
    </row>
    <row r="51" spans="2:12" x14ac:dyDescent="0.25">
      <c r="B51" s="161" t="s">
        <v>179</v>
      </c>
      <c r="C51" s="195">
        <f>INP_Fleet_Assumptions!C46</f>
        <v>20</v>
      </c>
      <c r="D51" s="191">
        <f>INP_Fleet_Assumptions!D46</f>
        <v>175900</v>
      </c>
      <c r="E51" s="848" t="str">
        <f>INP_Fleet_Assumptions!E46</f>
        <v>Stagecoach spreadsheet in email from TFS  27/11/18</v>
      </c>
      <c r="F51" s="849"/>
      <c r="G51" s="849"/>
      <c r="H51" s="849"/>
      <c r="I51" s="849"/>
      <c r="J51" s="849"/>
      <c r="K51" s="849"/>
      <c r="L51" s="850"/>
    </row>
    <row r="52" spans="2:12" x14ac:dyDescent="0.25">
      <c r="B52" s="162" t="s">
        <v>284</v>
      </c>
      <c r="C52" s="34">
        <f>INP_Fleet_Assumptions!C47</f>
        <v>31</v>
      </c>
      <c r="D52" s="191">
        <f>INP_Fleet_Assumptions!D47</f>
        <v>60000</v>
      </c>
      <c r="E52" s="848" t="str">
        <f>INP_Fleet_Assumptions!E47</f>
        <v>Emails from TFS 30/11/18 and 3/12/18 (or Rule of a Half applied to £60K)</v>
      </c>
      <c r="F52" s="849"/>
      <c r="G52" s="849"/>
      <c r="H52" s="849"/>
      <c r="I52" s="849"/>
      <c r="J52" s="849"/>
      <c r="K52" s="849"/>
      <c r="L52" s="850"/>
    </row>
    <row r="54" spans="2:12" x14ac:dyDescent="0.25">
      <c r="B54" s="169" t="s">
        <v>388</v>
      </c>
      <c r="C54" s="191">
        <f>D52/2</f>
        <v>30000</v>
      </c>
      <c r="D54" s="848" t="s">
        <v>389</v>
      </c>
      <c r="E54" s="849"/>
      <c r="F54" s="849"/>
      <c r="G54" s="849"/>
      <c r="H54" s="849"/>
      <c r="I54" s="849"/>
      <c r="J54" s="849"/>
      <c r="K54" s="849"/>
      <c r="L54" s="850"/>
    </row>
    <row r="56" spans="2:12" x14ac:dyDescent="0.25">
      <c r="B56" s="169" t="s">
        <v>275</v>
      </c>
      <c r="C56" s="191">
        <f>C44</f>
        <v>18000</v>
      </c>
      <c r="D56" s="848" t="s">
        <v>286</v>
      </c>
      <c r="E56" s="849"/>
      <c r="F56" s="849"/>
      <c r="G56" s="849"/>
      <c r="H56" s="849"/>
      <c r="I56" s="849"/>
      <c r="J56" s="849"/>
      <c r="K56" s="849"/>
      <c r="L56" s="850"/>
    </row>
    <row r="57" spans="2:12" x14ac:dyDescent="0.25">
      <c r="B57" s="169" t="s">
        <v>386</v>
      </c>
      <c r="C57" s="191">
        <f>D52-C56</f>
        <v>42000</v>
      </c>
      <c r="D57" s="848" t="s">
        <v>387</v>
      </c>
      <c r="E57" s="849"/>
      <c r="F57" s="849"/>
      <c r="G57" s="849"/>
      <c r="H57" s="849"/>
      <c r="I57" s="849"/>
      <c r="J57" s="849"/>
      <c r="K57" s="849"/>
      <c r="L57" s="850"/>
    </row>
    <row r="59" spans="2:12" ht="30" x14ac:dyDescent="0.25">
      <c r="B59" s="179" t="s">
        <v>80</v>
      </c>
      <c r="C59" s="191">
        <f>INP_Fleet_Assumptions!C49</f>
        <v>0</v>
      </c>
      <c r="D59" s="842" t="str">
        <f>INP_Fleet_Assumptions!D49</f>
        <v>Stagecoach spreadsheet in email from TFS  27/11/18</v>
      </c>
      <c r="E59" s="843"/>
      <c r="F59" s="843"/>
      <c r="G59" s="843"/>
      <c r="H59" s="843"/>
      <c r="I59" s="843"/>
      <c r="J59" s="843"/>
      <c r="K59" s="843"/>
      <c r="L59" s="844"/>
    </row>
    <row r="60" spans="2:12" x14ac:dyDescent="0.25">
      <c r="B60" s="179" t="s">
        <v>182</v>
      </c>
      <c r="C60" s="191">
        <f>INP_Fleet_Assumptions!C50</f>
        <v>726000</v>
      </c>
      <c r="D60" s="842" t="str">
        <f>INP_Fleet_Assumptions!D50</f>
        <v>Stagecoach spreadsheet in email from TFS  27/11/18</v>
      </c>
      <c r="E60" s="843"/>
      <c r="F60" s="843"/>
      <c r="G60" s="843"/>
      <c r="H60" s="843"/>
      <c r="I60" s="843"/>
      <c r="J60" s="843"/>
      <c r="K60" s="843"/>
      <c r="L60" s="844"/>
    </row>
    <row r="61" spans="2:12" ht="28.9" customHeight="1" x14ac:dyDescent="0.25">
      <c r="B61" s="179" t="s">
        <v>278</v>
      </c>
      <c r="C61" s="191">
        <f>INP_Fleet_Assumptions!C51</f>
        <v>0</v>
      </c>
      <c r="D61" s="842" t="str">
        <f>INP_Fleet_Assumptions!D51</f>
        <v>Retro-fitting may increase fuel consumption and op/maintenance costs, which will cancel out the improved fuel efficiency of any new buses etc</v>
      </c>
      <c r="E61" s="843"/>
      <c r="F61" s="843"/>
      <c r="G61" s="843"/>
      <c r="H61" s="843"/>
      <c r="I61" s="843"/>
      <c r="J61" s="843"/>
      <c r="K61" s="843"/>
      <c r="L61" s="844"/>
    </row>
    <row r="62" spans="2:12" ht="30" x14ac:dyDescent="0.25">
      <c r="B62" s="179" t="s">
        <v>277</v>
      </c>
      <c r="C62" s="191">
        <f>INP_Fleet_Assumptions!C52</f>
        <v>1725</v>
      </c>
      <c r="D62" s="842" t="str">
        <f>INP_Fleet_Assumptions!D52</f>
        <v>pa</v>
      </c>
      <c r="E62" s="843"/>
      <c r="F62" s="843"/>
      <c r="G62" s="843"/>
      <c r="H62" s="843"/>
      <c r="I62" s="843"/>
      <c r="J62" s="843"/>
      <c r="K62" s="843"/>
      <c r="L62" s="844"/>
    </row>
    <row r="64" spans="2:12" s="155" customFormat="1" x14ac:dyDescent="0.25">
      <c r="B64" s="156" t="s">
        <v>26</v>
      </c>
    </row>
    <row r="66" spans="2:12" x14ac:dyDescent="0.25">
      <c r="B66" s="179" t="s">
        <v>68</v>
      </c>
      <c r="C66" s="191">
        <f>F12</f>
        <v>4450</v>
      </c>
      <c r="D66" s="842"/>
      <c r="E66" s="843"/>
      <c r="F66" s="843"/>
      <c r="G66" s="843"/>
      <c r="H66" s="843"/>
      <c r="I66" s="843"/>
      <c r="J66" s="843"/>
      <c r="K66" s="843"/>
      <c r="L66" s="844"/>
    </row>
    <row r="67" spans="2:12" x14ac:dyDescent="0.25">
      <c r="B67" s="179" t="s">
        <v>192</v>
      </c>
      <c r="C67" s="191">
        <f>PRO_Fleet_Assumptions!C66</f>
        <v>4450</v>
      </c>
      <c r="D67" s="842" t="s">
        <v>197</v>
      </c>
      <c r="E67" s="843"/>
      <c r="F67" s="843"/>
      <c r="G67" s="843"/>
      <c r="H67" s="843"/>
      <c r="I67" s="843"/>
      <c r="J67" s="843"/>
      <c r="K67" s="843"/>
      <c r="L67" s="844"/>
    </row>
    <row r="69" spans="2:12" x14ac:dyDescent="0.25">
      <c r="B69" s="179" t="s">
        <v>269</v>
      </c>
      <c r="C69" s="34">
        <f>INP_Fleet_Assumptions!C56</f>
        <v>35</v>
      </c>
      <c r="D69" s="842" t="str">
        <f>INP_Fleet_Assumptions!D56</f>
        <v xml:space="preserve">Euro 4 to Euro 6 will be a saving, but Euro 5 to Euro 6 probably won't </v>
      </c>
      <c r="E69" s="843"/>
      <c r="F69" s="843"/>
      <c r="G69" s="843"/>
      <c r="H69" s="843"/>
      <c r="I69" s="843"/>
      <c r="J69" s="843"/>
      <c r="K69" s="843"/>
      <c r="L69" s="844"/>
    </row>
    <row r="70" spans="2:12" x14ac:dyDescent="0.25">
      <c r="B70" s="179" t="s">
        <v>270</v>
      </c>
      <c r="C70" s="34">
        <f>INP_Fleet_Assumptions!C57</f>
        <v>40</v>
      </c>
      <c r="D70" s="842">
        <f>INP_Fleet_Assumptions!D57</f>
        <v>0</v>
      </c>
      <c r="E70" s="843"/>
      <c r="F70" s="843"/>
      <c r="G70" s="843"/>
      <c r="H70" s="843"/>
      <c r="I70" s="843"/>
      <c r="J70" s="843"/>
      <c r="K70" s="843"/>
      <c r="L70" s="844"/>
    </row>
    <row r="71" spans="2:12" x14ac:dyDescent="0.25">
      <c r="B71" s="179" t="s">
        <v>271</v>
      </c>
      <c r="C71" s="34">
        <f>INP_Fleet_Assumptions!C58</f>
        <v>12000</v>
      </c>
      <c r="D71" s="842">
        <f>INP_Fleet_Assumptions!D58</f>
        <v>0</v>
      </c>
      <c r="E71" s="843"/>
      <c r="F71" s="843"/>
      <c r="G71" s="843"/>
      <c r="H71" s="843"/>
      <c r="I71" s="843"/>
      <c r="J71" s="843"/>
      <c r="K71" s="843"/>
      <c r="L71" s="844"/>
    </row>
    <row r="72" spans="2:12" x14ac:dyDescent="0.25">
      <c r="B72" s="179" t="s">
        <v>272</v>
      </c>
      <c r="C72" s="314">
        <f>INP_Fleet_Assumptions!C59</f>
        <v>5.5</v>
      </c>
      <c r="D72" s="842">
        <f>INP_Fleet_Assumptions!D59</f>
        <v>0</v>
      </c>
      <c r="E72" s="843"/>
      <c r="F72" s="843"/>
      <c r="G72" s="843"/>
      <c r="H72" s="843"/>
      <c r="I72" s="843"/>
      <c r="J72" s="843"/>
      <c r="K72" s="843"/>
      <c r="L72" s="844"/>
    </row>
    <row r="74" spans="2:12" x14ac:dyDescent="0.25">
      <c r="B74" s="179" t="s">
        <v>273</v>
      </c>
      <c r="C74" s="191">
        <f>ROUND(PRO_Fleet_Assumptions!$C$72*PRO_Fleet_Assumptions!C71/PRO_Fleet_Assumptions!C69,-2)</f>
        <v>1900</v>
      </c>
      <c r="D74" s="856"/>
      <c r="E74" s="857"/>
      <c r="F74" s="857"/>
      <c r="G74" s="857"/>
      <c r="H74" s="857"/>
      <c r="I74" s="857"/>
      <c r="J74" s="857"/>
      <c r="K74" s="857"/>
      <c r="L74" s="858"/>
    </row>
    <row r="75" spans="2:12" x14ac:dyDescent="0.25">
      <c r="B75" s="179" t="s">
        <v>274</v>
      </c>
      <c r="C75" s="191">
        <f>ROUND(PRO_Fleet_Assumptions!C72*PRO_Fleet_Assumptions!C71/PRO_Fleet_Assumptions!C70,-2)</f>
        <v>1700</v>
      </c>
      <c r="D75" s="856"/>
      <c r="E75" s="857"/>
      <c r="F75" s="857"/>
      <c r="G75" s="857"/>
      <c r="H75" s="857"/>
      <c r="I75" s="857"/>
      <c r="J75" s="857"/>
      <c r="K75" s="857"/>
      <c r="L75" s="858"/>
    </row>
    <row r="76" spans="2:12" x14ac:dyDescent="0.25">
      <c r="B76" s="179" t="s">
        <v>215</v>
      </c>
      <c r="C76" s="191">
        <f>(PRO_Fleet_Assumptions!C74-PRO_Fleet_Assumptions!C75)*INP_Fleet_Assumptions!$C$17</f>
        <v>0</v>
      </c>
      <c r="D76" s="853" t="s">
        <v>586</v>
      </c>
      <c r="E76" s="854"/>
      <c r="F76" s="854"/>
      <c r="G76" s="854"/>
      <c r="H76" s="854"/>
      <c r="I76" s="854"/>
      <c r="J76" s="854"/>
      <c r="K76" s="854"/>
      <c r="L76" s="855"/>
    </row>
    <row r="78" spans="2:12" s="155" customFormat="1" x14ac:dyDescent="0.25">
      <c r="B78" s="156" t="s">
        <v>27</v>
      </c>
    </row>
    <row r="80" spans="2:12" x14ac:dyDescent="0.25">
      <c r="B80" s="179" t="s">
        <v>78</v>
      </c>
      <c r="C80" s="191">
        <f>F13</f>
        <v>14000</v>
      </c>
      <c r="D80" s="842" t="s">
        <v>87</v>
      </c>
      <c r="E80" s="843"/>
      <c r="F80" s="843"/>
      <c r="G80" s="843"/>
      <c r="H80" s="843"/>
      <c r="I80" s="843"/>
      <c r="J80" s="843"/>
      <c r="K80" s="843"/>
      <c r="L80" s="844"/>
    </row>
    <row r="81" spans="2:12" x14ac:dyDescent="0.25">
      <c r="B81" s="179" t="s">
        <v>79</v>
      </c>
      <c r="C81" s="191">
        <f>F14</f>
        <v>17400</v>
      </c>
      <c r="D81" s="842" t="s">
        <v>87</v>
      </c>
      <c r="E81" s="843"/>
      <c r="F81" s="843"/>
      <c r="G81" s="843"/>
      <c r="H81" s="843"/>
      <c r="I81" s="843"/>
      <c r="J81" s="843"/>
      <c r="K81" s="843"/>
      <c r="L81" s="844"/>
    </row>
    <row r="82" spans="2:12" x14ac:dyDescent="0.25">
      <c r="B82" s="179" t="s">
        <v>77</v>
      </c>
      <c r="C82" s="68">
        <f>INP_Fleet_Assumptions!C63</f>
        <v>1</v>
      </c>
      <c r="D82" s="842" t="str">
        <f>INP_Fleet_Assumptions!D63</f>
        <v>Total number now capped at the top 3 frequency bands</v>
      </c>
      <c r="E82" s="843"/>
      <c r="F82" s="843"/>
      <c r="G82" s="843"/>
      <c r="H82" s="843"/>
      <c r="I82" s="843"/>
      <c r="J82" s="843"/>
      <c r="K82" s="843"/>
      <c r="L82" s="844"/>
    </row>
    <row r="83" spans="2:12" x14ac:dyDescent="0.25">
      <c r="B83" s="179" t="s">
        <v>213</v>
      </c>
      <c r="C83" s="191">
        <f>PRO_Fleet_Assumptions!C80</f>
        <v>14000</v>
      </c>
      <c r="D83" s="842" t="s">
        <v>587</v>
      </c>
      <c r="E83" s="843"/>
      <c r="F83" s="843"/>
      <c r="G83" s="843"/>
      <c r="H83" s="843"/>
      <c r="I83" s="843"/>
      <c r="J83" s="843"/>
      <c r="K83" s="843"/>
      <c r="L83" s="844"/>
    </row>
    <row r="84" spans="2:12" x14ac:dyDescent="0.25">
      <c r="B84" s="179" t="s">
        <v>214</v>
      </c>
      <c r="C84" s="191">
        <f>PRO_Fleet_Assumptions!C81</f>
        <v>17400</v>
      </c>
      <c r="D84" s="842" t="s">
        <v>587</v>
      </c>
      <c r="E84" s="843"/>
      <c r="F84" s="843"/>
      <c r="G84" s="843"/>
      <c r="H84" s="843"/>
      <c r="I84" s="843"/>
      <c r="J84" s="843"/>
      <c r="K84" s="843"/>
      <c r="L84" s="844"/>
    </row>
    <row r="85" spans="2:12" x14ac:dyDescent="0.25">
      <c r="B85" s="179" t="s">
        <v>390</v>
      </c>
      <c r="C85" s="191">
        <f>INP_Fleet_Assumptions!C64*INP_Fleet_Assumptions!$C$17</f>
        <v>0</v>
      </c>
      <c r="D85" s="853" t="s">
        <v>586</v>
      </c>
      <c r="E85" s="854"/>
      <c r="F85" s="854"/>
      <c r="G85" s="854"/>
      <c r="H85" s="854"/>
      <c r="I85" s="854"/>
      <c r="J85" s="854"/>
      <c r="K85" s="854"/>
      <c r="L85" s="855"/>
    </row>
    <row r="86" spans="2:12" x14ac:dyDescent="0.25">
      <c r="B86" s="179" t="s">
        <v>223</v>
      </c>
      <c r="C86" s="191">
        <f>INP_Fleet_Assumptions!C65*INP_Fleet_Assumptions!$C$17</f>
        <v>0</v>
      </c>
      <c r="D86" s="853" t="s">
        <v>586</v>
      </c>
      <c r="E86" s="854"/>
      <c r="F86" s="854"/>
      <c r="G86" s="854"/>
      <c r="H86" s="854"/>
      <c r="I86" s="854"/>
      <c r="J86" s="854"/>
      <c r="K86" s="854"/>
      <c r="L86" s="855"/>
    </row>
  </sheetData>
  <mergeCells count="45">
    <mergeCell ref="D36:L36"/>
    <mergeCell ref="D18:L18"/>
    <mergeCell ref="D19:L19"/>
    <mergeCell ref="D23:L23"/>
    <mergeCell ref="D24:L24"/>
    <mergeCell ref="D27:L27"/>
    <mergeCell ref="D28:L28"/>
    <mergeCell ref="D29:L29"/>
    <mergeCell ref="D31:L31"/>
    <mergeCell ref="D32:L32"/>
    <mergeCell ref="D33:L33"/>
    <mergeCell ref="D35:L35"/>
    <mergeCell ref="D25:L25"/>
    <mergeCell ref="D57:L57"/>
    <mergeCell ref="D37:L37"/>
    <mergeCell ref="D38:L38"/>
    <mergeCell ref="D39:L39"/>
    <mergeCell ref="D40:L40"/>
    <mergeCell ref="D44:L44"/>
    <mergeCell ref="G47:L47"/>
    <mergeCell ref="G48:L48"/>
    <mergeCell ref="E51:L51"/>
    <mergeCell ref="E52:L52"/>
    <mergeCell ref="D54:L54"/>
    <mergeCell ref="D56:L56"/>
    <mergeCell ref="D75:L75"/>
    <mergeCell ref="D76:L76"/>
    <mergeCell ref="D59:L59"/>
    <mergeCell ref="D60:L60"/>
    <mergeCell ref="D61:L61"/>
    <mergeCell ref="D62:L62"/>
    <mergeCell ref="D66:L66"/>
    <mergeCell ref="D67:L67"/>
    <mergeCell ref="D69:L69"/>
    <mergeCell ref="D70:L70"/>
    <mergeCell ref="D71:L71"/>
    <mergeCell ref="D72:L72"/>
    <mergeCell ref="D74:L74"/>
    <mergeCell ref="D86:L86"/>
    <mergeCell ref="D80:L80"/>
    <mergeCell ref="D81:L81"/>
    <mergeCell ref="D82:L82"/>
    <mergeCell ref="D83:L83"/>
    <mergeCell ref="D84:L84"/>
    <mergeCell ref="D85:L85"/>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99"/>
  </sheetPr>
  <dimension ref="B1:P42"/>
  <sheetViews>
    <sheetView showGridLines="0" workbookViewId="0">
      <selection activeCell="G1" sqref="G1"/>
    </sheetView>
  </sheetViews>
  <sheetFormatPr defaultRowHeight="15" x14ac:dyDescent="0.25"/>
  <cols>
    <col min="2" max="2" width="29.7109375" customWidth="1"/>
    <col min="3" max="5" width="15.7109375" customWidth="1"/>
    <col min="6" max="7" width="15.5703125" customWidth="1"/>
    <col min="11" max="11" width="32" customWidth="1"/>
  </cols>
  <sheetData>
    <row r="1" spans="2:16" x14ac:dyDescent="0.25">
      <c r="B1" s="21" t="s">
        <v>428</v>
      </c>
    </row>
    <row r="2" spans="2:16" x14ac:dyDescent="0.25">
      <c r="B2" s="21"/>
    </row>
    <row r="3" spans="2:16" x14ac:dyDescent="0.25">
      <c r="B3" s="21"/>
      <c r="M3" s="202"/>
      <c r="N3" s="202"/>
      <c r="O3" s="202"/>
      <c r="P3" s="202"/>
    </row>
    <row r="6" spans="2:16" s="155" customFormat="1" x14ac:dyDescent="0.25">
      <c r="B6" s="156" t="s">
        <v>429</v>
      </c>
    </row>
    <row r="7" spans="2:16" x14ac:dyDescent="0.25">
      <c r="C7" s="586" t="s">
        <v>766</v>
      </c>
      <c r="D7" s="586" t="s">
        <v>766</v>
      </c>
      <c r="E7" s="586" t="s">
        <v>766</v>
      </c>
      <c r="F7" s="587"/>
      <c r="G7" s="587"/>
      <c r="H7" s="588"/>
    </row>
    <row r="8" spans="2:16" x14ac:dyDescent="0.25">
      <c r="B8" s="865" t="s">
        <v>430</v>
      </c>
      <c r="C8" s="819" t="s">
        <v>218</v>
      </c>
      <c r="D8" s="820"/>
      <c r="E8" s="820"/>
      <c r="F8" s="867"/>
    </row>
    <row r="9" spans="2:16" x14ac:dyDescent="0.25">
      <c r="B9" s="866"/>
      <c r="C9" s="160" t="s">
        <v>94</v>
      </c>
      <c r="D9" s="160" t="s">
        <v>95</v>
      </c>
      <c r="E9" s="160" t="s">
        <v>96</v>
      </c>
      <c r="F9" s="160" t="s">
        <v>97</v>
      </c>
    </row>
    <row r="10" spans="2:16" x14ac:dyDescent="0.25">
      <c r="B10" s="204" t="s">
        <v>103</v>
      </c>
      <c r="C10" s="456"/>
      <c r="D10" s="456"/>
      <c r="E10" s="812">
        <v>80800</v>
      </c>
      <c r="F10" s="456">
        <v>0</v>
      </c>
      <c r="N10" t="s">
        <v>767</v>
      </c>
    </row>
    <row r="11" spans="2:16" x14ac:dyDescent="0.25">
      <c r="B11" s="161" t="s">
        <v>26</v>
      </c>
      <c r="C11" s="277"/>
      <c r="D11" s="277"/>
      <c r="E11" s="589">
        <v>8200</v>
      </c>
      <c r="F11" s="589">
        <v>8200</v>
      </c>
      <c r="G11" s="862" t="s">
        <v>768</v>
      </c>
      <c r="H11" s="863"/>
      <c r="I11" s="863"/>
      <c r="J11" s="863"/>
      <c r="K11" s="863"/>
      <c r="L11" s="864"/>
      <c r="N11" s="277">
        <v>8200</v>
      </c>
    </row>
    <row r="12" spans="2:16" x14ac:dyDescent="0.25">
      <c r="B12" s="161" t="s">
        <v>219</v>
      </c>
      <c r="C12" s="277"/>
      <c r="D12" s="277"/>
      <c r="E12" s="589">
        <v>1900</v>
      </c>
      <c r="F12" s="589">
        <v>1900</v>
      </c>
      <c r="G12" s="862" t="s">
        <v>769</v>
      </c>
      <c r="H12" s="863"/>
      <c r="I12" s="863"/>
      <c r="J12" s="863"/>
      <c r="K12" s="863"/>
      <c r="L12" s="864"/>
      <c r="N12" s="277">
        <v>1900</v>
      </c>
    </row>
    <row r="13" spans="2:16" x14ac:dyDescent="0.25">
      <c r="B13" s="162" t="s">
        <v>431</v>
      </c>
      <c r="C13" s="457"/>
      <c r="D13" s="457"/>
      <c r="E13" s="590">
        <v>1000</v>
      </c>
      <c r="F13" s="590">
        <v>1000</v>
      </c>
      <c r="G13" s="862" t="s">
        <v>769</v>
      </c>
      <c r="H13" s="863"/>
      <c r="I13" s="863"/>
      <c r="J13" s="863"/>
      <c r="K13" s="863"/>
      <c r="L13" s="864"/>
      <c r="N13" s="457">
        <v>1000</v>
      </c>
    </row>
    <row r="16" spans="2:16" x14ac:dyDescent="0.25">
      <c r="B16" s="865" t="s">
        <v>432</v>
      </c>
      <c r="C16" s="819" t="s">
        <v>117</v>
      </c>
      <c r="D16" s="820"/>
      <c r="E16" s="820"/>
      <c r="F16" s="867"/>
    </row>
    <row r="17" spans="2:13" x14ac:dyDescent="0.25">
      <c r="B17" s="866"/>
      <c r="C17" s="160" t="s">
        <v>94</v>
      </c>
      <c r="D17" s="160" t="s">
        <v>95</v>
      </c>
      <c r="E17" s="160" t="s">
        <v>96</v>
      </c>
      <c r="F17" s="160" t="s">
        <v>97</v>
      </c>
    </row>
    <row r="18" spans="2:13" x14ac:dyDescent="0.25">
      <c r="B18" s="204" t="s">
        <v>5</v>
      </c>
      <c r="C18" s="477">
        <v>0.56000000000000005</v>
      </c>
      <c r="D18" s="477">
        <v>0.56000000000000005</v>
      </c>
      <c r="E18" s="477">
        <v>0.56000000000000005</v>
      </c>
      <c r="F18" s="477">
        <v>0.624</v>
      </c>
      <c r="G18" s="859" t="s">
        <v>451</v>
      </c>
      <c r="H18" s="860"/>
      <c r="I18" s="860"/>
      <c r="J18" s="860"/>
      <c r="K18" s="860"/>
      <c r="L18" s="861"/>
    </row>
    <row r="19" spans="2:13" x14ac:dyDescent="0.25">
      <c r="B19" s="161" t="s">
        <v>376</v>
      </c>
      <c r="C19" s="477">
        <v>0.28000000000000003</v>
      </c>
      <c r="D19" s="477">
        <v>0.28000000000000003</v>
      </c>
      <c r="E19" s="477">
        <v>0.28000000000000003</v>
      </c>
      <c r="F19" s="477">
        <v>0.312</v>
      </c>
      <c r="G19" s="859"/>
      <c r="H19" s="860"/>
      <c r="I19" s="860"/>
      <c r="J19" s="860"/>
      <c r="K19" s="860"/>
      <c r="L19" s="861"/>
    </row>
    <row r="20" spans="2:13" x14ac:dyDescent="0.25">
      <c r="B20" s="161" t="s">
        <v>65</v>
      </c>
      <c r="C20" s="477">
        <v>0.95</v>
      </c>
      <c r="D20" s="477">
        <v>0.95</v>
      </c>
      <c r="E20" s="477">
        <v>0.95</v>
      </c>
      <c r="F20" s="477">
        <v>0.98</v>
      </c>
      <c r="G20" s="862" t="s">
        <v>452</v>
      </c>
      <c r="H20" s="863"/>
      <c r="I20" s="863"/>
      <c r="J20" s="863"/>
      <c r="K20" s="863"/>
      <c r="L20" s="864"/>
    </row>
    <row r="21" spans="2:13" x14ac:dyDescent="0.25">
      <c r="B21" s="162" t="s">
        <v>66</v>
      </c>
      <c r="C21" s="477">
        <v>0.8</v>
      </c>
      <c r="D21" s="477">
        <f>C21/2</f>
        <v>0.4</v>
      </c>
      <c r="E21" s="477">
        <f>D21/2</f>
        <v>0.2</v>
      </c>
      <c r="F21" s="477">
        <v>0.6</v>
      </c>
      <c r="G21" s="859" t="s">
        <v>453</v>
      </c>
      <c r="H21" s="860"/>
      <c r="I21" s="860"/>
      <c r="J21" s="860"/>
      <c r="K21" s="860"/>
      <c r="L21" s="861"/>
    </row>
    <row r="24" spans="2:13" s="155" customFormat="1" x14ac:dyDescent="0.25">
      <c r="B24" s="156" t="s">
        <v>433</v>
      </c>
    </row>
    <row r="25" spans="2:13" x14ac:dyDescent="0.25">
      <c r="D25" s="586" t="s">
        <v>766</v>
      </c>
      <c r="E25" s="586" t="s">
        <v>766</v>
      </c>
      <c r="F25" s="586" t="s">
        <v>766</v>
      </c>
      <c r="G25" s="586" t="s">
        <v>766</v>
      </c>
      <c r="M25" t="s">
        <v>767</v>
      </c>
    </row>
    <row r="26" spans="2:13" x14ac:dyDescent="0.25">
      <c r="B26" s="206" t="s">
        <v>430</v>
      </c>
      <c r="C26" s="207" t="s">
        <v>245</v>
      </c>
      <c r="D26" s="207" t="s">
        <v>94</v>
      </c>
      <c r="E26" s="207" t="s">
        <v>95</v>
      </c>
      <c r="F26" s="207" t="s">
        <v>96</v>
      </c>
      <c r="G26" s="207" t="s">
        <v>97</v>
      </c>
      <c r="M26" s="207" t="s">
        <v>97</v>
      </c>
    </row>
    <row r="27" spans="2:13" x14ac:dyDescent="0.25">
      <c r="B27" s="208" t="s">
        <v>119</v>
      </c>
      <c r="C27" s="209">
        <v>0</v>
      </c>
      <c r="D27" s="209"/>
      <c r="E27" s="209"/>
      <c r="F27" s="591">
        <v>37150</v>
      </c>
      <c r="G27" s="591">
        <v>0</v>
      </c>
      <c r="H27" s="307"/>
      <c r="I27" s="294"/>
      <c r="J27" s="294"/>
      <c r="K27" s="294"/>
      <c r="L27" s="295"/>
      <c r="M27" s="209">
        <v>0</v>
      </c>
    </row>
    <row r="28" spans="2:13" x14ac:dyDescent="0.25">
      <c r="B28" s="208" t="s">
        <v>4</v>
      </c>
      <c r="C28" s="210" t="s">
        <v>246</v>
      </c>
      <c r="D28" s="210"/>
      <c r="E28" s="210"/>
      <c r="F28" s="592" t="s">
        <v>246</v>
      </c>
      <c r="G28" s="592" t="s">
        <v>246</v>
      </c>
      <c r="H28" s="307"/>
      <c r="I28" s="294"/>
      <c r="J28" s="294"/>
      <c r="K28" s="294"/>
      <c r="L28" s="295"/>
      <c r="M28" s="210" t="s">
        <v>246</v>
      </c>
    </row>
    <row r="29" spans="2:13" x14ac:dyDescent="0.25">
      <c r="B29" s="208" t="s">
        <v>26</v>
      </c>
      <c r="C29" s="210">
        <v>0</v>
      </c>
      <c r="D29" s="210"/>
      <c r="E29" s="210"/>
      <c r="F29" s="592">
        <v>11540</v>
      </c>
      <c r="G29" s="592">
        <v>11100</v>
      </c>
      <c r="H29" s="307" t="s">
        <v>770</v>
      </c>
      <c r="I29" s="294"/>
      <c r="J29" s="294"/>
      <c r="K29" s="294"/>
      <c r="L29" s="295"/>
      <c r="M29" s="210">
        <v>11550</v>
      </c>
    </row>
    <row r="30" spans="2:13" x14ac:dyDescent="0.25">
      <c r="B30" s="208" t="s">
        <v>169</v>
      </c>
      <c r="C30" s="210">
        <v>0</v>
      </c>
      <c r="D30" s="210"/>
      <c r="E30" s="210"/>
      <c r="F30" s="592">
        <v>2200</v>
      </c>
      <c r="G30" s="592">
        <v>1600</v>
      </c>
      <c r="H30" s="307" t="s">
        <v>513</v>
      </c>
      <c r="I30" s="294"/>
      <c r="J30" s="294"/>
      <c r="K30" s="294"/>
      <c r="L30" s="295"/>
      <c r="M30" s="210">
        <v>2200</v>
      </c>
    </row>
    <row r="31" spans="2:13" x14ac:dyDescent="0.25">
      <c r="B31" s="211" t="s">
        <v>170</v>
      </c>
      <c r="C31" s="212">
        <v>0</v>
      </c>
      <c r="D31" s="212"/>
      <c r="E31" s="212"/>
      <c r="F31" s="593">
        <v>1200</v>
      </c>
      <c r="G31" s="593">
        <v>850</v>
      </c>
      <c r="H31" s="307" t="s">
        <v>513</v>
      </c>
      <c r="I31" s="294"/>
      <c r="J31" s="294"/>
      <c r="K31" s="294"/>
      <c r="L31" s="295"/>
      <c r="M31" s="212">
        <v>1200</v>
      </c>
    </row>
    <row r="32" spans="2:13" x14ac:dyDescent="0.25">
      <c r="B32" s="401" t="s">
        <v>178</v>
      </c>
      <c r="C32" s="402">
        <f>C27+C29+C30+C31</f>
        <v>0</v>
      </c>
      <c r="D32" s="402">
        <f t="shared" ref="D32:G32" si="0">D27+D29+D30+D31</f>
        <v>0</v>
      </c>
      <c r="E32" s="402">
        <f t="shared" si="0"/>
        <v>0</v>
      </c>
      <c r="F32" s="402">
        <f t="shared" si="0"/>
        <v>52090</v>
      </c>
      <c r="G32" s="402">
        <f t="shared" si="0"/>
        <v>13550</v>
      </c>
      <c r="H32" s="395"/>
      <c r="I32" s="395"/>
      <c r="J32" s="395"/>
      <c r="K32" s="395"/>
      <c r="L32" s="396"/>
      <c r="M32" s="402">
        <f t="shared" ref="M32" si="1">M27+M29+M30+M31</f>
        <v>14950</v>
      </c>
    </row>
    <row r="34" spans="2:13" s="155" customFormat="1" x14ac:dyDescent="0.25">
      <c r="B34" s="156" t="s">
        <v>434</v>
      </c>
    </row>
    <row r="35" spans="2:13" x14ac:dyDescent="0.25">
      <c r="D35" s="586" t="s">
        <v>766</v>
      </c>
      <c r="E35" s="586" t="s">
        <v>766</v>
      </c>
      <c r="F35" s="586" t="s">
        <v>766</v>
      </c>
      <c r="G35" s="586"/>
      <c r="M35" t="s">
        <v>771</v>
      </c>
    </row>
    <row r="36" spans="2:13" x14ac:dyDescent="0.25">
      <c r="B36" s="206" t="s">
        <v>430</v>
      </c>
      <c r="C36" s="207" t="s">
        <v>245</v>
      </c>
      <c r="D36" s="207" t="s">
        <v>94</v>
      </c>
      <c r="E36" s="207" t="s">
        <v>95</v>
      </c>
      <c r="F36" s="207" t="s">
        <v>96</v>
      </c>
      <c r="G36" s="207" t="s">
        <v>97</v>
      </c>
      <c r="M36" s="207" t="s">
        <v>97</v>
      </c>
    </row>
    <row r="37" spans="2:13" x14ac:dyDescent="0.25">
      <c r="B37" s="208" t="s">
        <v>119</v>
      </c>
      <c r="C37" s="209">
        <v>0</v>
      </c>
      <c r="D37" s="209"/>
      <c r="E37" s="209"/>
      <c r="F37" s="591">
        <v>29140</v>
      </c>
      <c r="G37" s="209">
        <v>0</v>
      </c>
      <c r="H37" s="307" t="s">
        <v>513</v>
      </c>
      <c r="I37" s="307"/>
      <c r="J37" s="307"/>
      <c r="K37" s="307"/>
      <c r="L37" s="308"/>
      <c r="M37" s="209">
        <v>0</v>
      </c>
    </row>
    <row r="38" spans="2:13" x14ac:dyDescent="0.25">
      <c r="B38" s="208" t="s">
        <v>4</v>
      </c>
      <c r="C38" s="210" t="s">
        <v>246</v>
      </c>
      <c r="D38" s="210"/>
      <c r="E38" s="210"/>
      <c r="F38" s="592" t="s">
        <v>246</v>
      </c>
      <c r="G38" s="210" t="s">
        <v>246</v>
      </c>
      <c r="H38" s="307" t="s">
        <v>513</v>
      </c>
      <c r="I38" s="307"/>
      <c r="J38" s="307"/>
      <c r="K38" s="307"/>
      <c r="L38" s="308"/>
      <c r="M38" s="210" t="s">
        <v>246</v>
      </c>
    </row>
    <row r="39" spans="2:13" x14ac:dyDescent="0.25">
      <c r="B39" s="208" t="s">
        <v>26</v>
      </c>
      <c r="C39" s="210">
        <v>0</v>
      </c>
      <c r="D39" s="210"/>
      <c r="E39" s="210"/>
      <c r="F39" s="592">
        <v>7790</v>
      </c>
      <c r="G39" s="594">
        <v>7480</v>
      </c>
      <c r="H39" s="307" t="s">
        <v>513</v>
      </c>
      <c r="I39" s="307"/>
      <c r="J39" s="307"/>
      <c r="K39" s="307"/>
      <c r="L39" s="308"/>
      <c r="M39" s="210">
        <v>7790</v>
      </c>
    </row>
    <row r="40" spans="2:13" x14ac:dyDescent="0.25">
      <c r="B40" s="208" t="s">
        <v>169</v>
      </c>
      <c r="C40" s="210">
        <v>0</v>
      </c>
      <c r="D40" s="210"/>
      <c r="E40" s="210"/>
      <c r="F40" s="592">
        <v>1750</v>
      </c>
      <c r="G40" s="594">
        <v>1250</v>
      </c>
      <c r="H40" s="307" t="s">
        <v>513</v>
      </c>
      <c r="I40" s="307"/>
      <c r="J40" s="307"/>
      <c r="K40" s="307"/>
      <c r="L40" s="308"/>
      <c r="M40" s="210">
        <v>1700</v>
      </c>
    </row>
    <row r="41" spans="2:13" x14ac:dyDescent="0.25">
      <c r="B41" s="211" t="s">
        <v>170</v>
      </c>
      <c r="C41" s="212">
        <v>0</v>
      </c>
      <c r="D41" s="212"/>
      <c r="E41" s="212"/>
      <c r="F41" s="593">
        <v>950</v>
      </c>
      <c r="G41" s="594">
        <v>700</v>
      </c>
      <c r="H41" s="307" t="s">
        <v>513</v>
      </c>
      <c r="I41" s="307"/>
      <c r="J41" s="307"/>
      <c r="K41" s="307"/>
      <c r="L41" s="308"/>
      <c r="M41" s="212">
        <v>950</v>
      </c>
    </row>
    <row r="42" spans="2:13" x14ac:dyDescent="0.25">
      <c r="B42" s="401" t="s">
        <v>178</v>
      </c>
      <c r="C42" s="402">
        <f>C37+C39+C40+C41</f>
        <v>0</v>
      </c>
      <c r="D42" s="402">
        <f t="shared" ref="D42" si="2">D37+D39+D40+D41</f>
        <v>0</v>
      </c>
      <c r="E42" s="402">
        <f t="shared" ref="E42" si="3">E37+E39+E40+E41</f>
        <v>0</v>
      </c>
      <c r="F42" s="402">
        <f t="shared" ref="F42" si="4">F37+F39+F40+F41</f>
        <v>39630</v>
      </c>
      <c r="G42" s="402">
        <f t="shared" ref="G42" si="5">G37+G39+G40+G41</f>
        <v>9430</v>
      </c>
      <c r="H42" s="395"/>
      <c r="I42" s="395"/>
      <c r="J42" s="395"/>
      <c r="K42" s="395"/>
      <c r="L42" s="396"/>
      <c r="M42" s="402">
        <f t="shared" ref="M42" si="6">M37+M39+M40+M41</f>
        <v>10440</v>
      </c>
    </row>
  </sheetData>
  <mergeCells count="11">
    <mergeCell ref="G21:L21"/>
    <mergeCell ref="G13:L13"/>
    <mergeCell ref="B8:B9"/>
    <mergeCell ref="C8:F8"/>
    <mergeCell ref="G11:L11"/>
    <mergeCell ref="G12:L12"/>
    <mergeCell ref="B16:B17"/>
    <mergeCell ref="C16:F16"/>
    <mergeCell ref="G18:L18"/>
    <mergeCell ref="G19:L19"/>
    <mergeCell ref="G20:L20"/>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99"/>
  </sheetPr>
  <dimension ref="B1:C12"/>
  <sheetViews>
    <sheetView workbookViewId="0"/>
  </sheetViews>
  <sheetFormatPr defaultRowHeight="15" x14ac:dyDescent="0.25"/>
  <cols>
    <col min="3" max="3" width="25.5703125" customWidth="1"/>
  </cols>
  <sheetData>
    <row r="1" spans="2:3" ht="15.75" thickBot="1" x14ac:dyDescent="0.3"/>
    <row r="2" spans="2:3" x14ac:dyDescent="0.25">
      <c r="B2" s="298">
        <v>1</v>
      </c>
      <c r="C2" s="299" t="s">
        <v>468</v>
      </c>
    </row>
    <row r="3" spans="2:3" x14ac:dyDescent="0.25">
      <c r="B3" s="300">
        <v>2</v>
      </c>
      <c r="C3" s="301" t="s">
        <v>103</v>
      </c>
    </row>
    <row r="4" spans="2:3" x14ac:dyDescent="0.25">
      <c r="B4" s="300">
        <v>3</v>
      </c>
      <c r="C4" s="301" t="s">
        <v>4</v>
      </c>
    </row>
    <row r="5" spans="2:3" x14ac:dyDescent="0.25">
      <c r="B5" s="300">
        <v>4</v>
      </c>
      <c r="C5" s="301" t="s">
        <v>3</v>
      </c>
    </row>
    <row r="6" spans="2:3" x14ac:dyDescent="0.25">
      <c r="B6" s="300">
        <v>5</v>
      </c>
      <c r="C6" s="301" t="s">
        <v>469</v>
      </c>
    </row>
    <row r="7" spans="2:3" x14ac:dyDescent="0.25">
      <c r="B7" s="300">
        <v>6</v>
      </c>
      <c r="C7" s="301" t="s">
        <v>28</v>
      </c>
    </row>
    <row r="8" spans="2:3" x14ac:dyDescent="0.25">
      <c r="B8" s="300">
        <v>7</v>
      </c>
      <c r="C8" s="301" t="s">
        <v>340</v>
      </c>
    </row>
    <row r="9" spans="2:3" x14ac:dyDescent="0.25">
      <c r="B9" s="300">
        <v>8</v>
      </c>
      <c r="C9" s="301" t="s">
        <v>470</v>
      </c>
    </row>
    <row r="10" spans="2:3" x14ac:dyDescent="0.25">
      <c r="B10" s="300">
        <v>9</v>
      </c>
      <c r="C10" s="301" t="s">
        <v>32</v>
      </c>
    </row>
    <row r="11" spans="2:3" x14ac:dyDescent="0.25">
      <c r="B11" s="300">
        <v>10</v>
      </c>
      <c r="C11" s="301" t="s">
        <v>471</v>
      </c>
    </row>
    <row r="12" spans="2:3" ht="15.75" thickBot="1" x14ac:dyDescent="0.3">
      <c r="B12" s="302">
        <v>11</v>
      </c>
      <c r="C12" s="303" t="s">
        <v>296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tint="0.59999389629810485"/>
  </sheetPr>
  <dimension ref="A1:K314"/>
  <sheetViews>
    <sheetView showGridLines="0" zoomScale="85" zoomScaleNormal="85" workbookViewId="0">
      <selection activeCell="D10" sqref="D10"/>
    </sheetView>
  </sheetViews>
  <sheetFormatPr defaultRowHeight="15" x14ac:dyDescent="0.25"/>
  <cols>
    <col min="1" max="1" width="11.7109375" customWidth="1"/>
    <col min="2" max="2" width="56.85546875" customWidth="1"/>
    <col min="3" max="3" width="21.85546875" style="3" customWidth="1"/>
    <col min="4" max="4" width="25.28515625" style="3" customWidth="1"/>
    <col min="5" max="5" width="16.85546875" style="3" customWidth="1"/>
    <col min="6" max="6" width="21" customWidth="1"/>
    <col min="7" max="7" width="22" customWidth="1"/>
    <col min="8" max="8" width="34.28515625" customWidth="1"/>
    <col min="9" max="9" width="55.28515625" customWidth="1"/>
    <col min="10" max="10" width="16.140625" customWidth="1"/>
    <col min="11" max="11" width="15.28515625" customWidth="1"/>
    <col min="14" max="14" width="14.28515625" bestFit="1" customWidth="1"/>
  </cols>
  <sheetData>
    <row r="1" spans="1:9" s="48" customFormat="1" x14ac:dyDescent="0.25">
      <c r="B1" s="46" t="s">
        <v>444</v>
      </c>
      <c r="I1"/>
    </row>
    <row r="2" spans="1:9" s="48" customFormat="1" x14ac:dyDescent="0.25">
      <c r="B2" s="878" t="s">
        <v>445</v>
      </c>
      <c r="C2" s="878"/>
      <c r="D2" s="878"/>
      <c r="I2"/>
    </row>
    <row r="3" spans="1:9" s="48" customFormat="1" x14ac:dyDescent="0.25">
      <c r="B3" s="878"/>
      <c r="C3" s="878"/>
      <c r="D3" s="878"/>
      <c r="I3"/>
    </row>
    <row r="4" spans="1:9" s="48" customFormat="1" x14ac:dyDescent="0.25">
      <c r="B4" s="403"/>
      <c r="I4"/>
    </row>
    <row r="5" spans="1:9" s="48" customFormat="1" x14ac:dyDescent="0.25">
      <c r="B5" s="403"/>
      <c r="I5"/>
    </row>
    <row r="6" spans="1:9" x14ac:dyDescent="0.25">
      <c r="C6"/>
      <c r="D6"/>
      <c r="E6"/>
    </row>
    <row r="7" spans="1:9" s="404" customFormat="1" x14ac:dyDescent="0.25">
      <c r="B7" s="423" t="s">
        <v>599</v>
      </c>
    </row>
    <row r="8" spans="1:9" s="405" customFormat="1" x14ac:dyDescent="0.25">
      <c r="B8" s="406"/>
    </row>
    <row r="9" spans="1:9" s="48" customFormat="1" x14ac:dyDescent="0.25">
      <c r="B9" s="255" t="s">
        <v>600</v>
      </c>
      <c r="C9" s="254" t="s">
        <v>90</v>
      </c>
      <c r="D9" s="254" t="s">
        <v>882</v>
      </c>
      <c r="E9" s="254" t="str">
        <f>CONCATENATE(C9,"_",D9)</f>
        <v>Cordon 3_CAZ C</v>
      </c>
      <c r="F9" s="869" t="s">
        <v>601</v>
      </c>
      <c r="G9" s="869"/>
      <c r="H9" s="869"/>
    </row>
    <row r="10" spans="1:9" s="23" customFormat="1" x14ac:dyDescent="0.25">
      <c r="A10" s="407"/>
      <c r="C10" s="6"/>
      <c r="D10" s="6"/>
      <c r="E10" s="7"/>
    </row>
    <row r="11" spans="1:9" x14ac:dyDescent="0.25">
      <c r="B11" s="255" t="s">
        <v>85</v>
      </c>
      <c r="C11" s="418"/>
      <c r="D11" s="879"/>
      <c r="E11" s="879"/>
      <c r="F11" s="879"/>
      <c r="G11" s="879"/>
      <c r="H11" s="879"/>
    </row>
    <row r="12" spans="1:9" ht="30" x14ac:dyDescent="0.25">
      <c r="B12" s="241" t="s">
        <v>84</v>
      </c>
      <c r="C12" s="419">
        <f>HLOOKUP($C$9,INP_Cordon_Assumptions!$C$8:$E$9,2,FALSE)</f>
        <v>12</v>
      </c>
      <c r="D12" s="869"/>
      <c r="E12" s="869"/>
      <c r="F12" s="869"/>
      <c r="G12" s="869"/>
      <c r="H12" s="869"/>
    </row>
    <row r="13" spans="1:9" x14ac:dyDescent="0.25">
      <c r="B13" s="241" t="s">
        <v>44</v>
      </c>
      <c r="C13" s="408">
        <f>INP_Assumptions!C23</f>
        <v>3</v>
      </c>
      <c r="D13" s="869"/>
      <c r="E13" s="869"/>
      <c r="F13" s="869"/>
      <c r="G13" s="869"/>
      <c r="H13" s="869"/>
    </row>
    <row r="14" spans="1:9" x14ac:dyDescent="0.25">
      <c r="B14" s="241" t="s">
        <v>45</v>
      </c>
      <c r="C14" s="215">
        <f>INP_Assumptions!C24</f>
        <v>3</v>
      </c>
      <c r="D14" s="869"/>
      <c r="E14" s="869"/>
      <c r="F14" s="869"/>
      <c r="G14" s="869"/>
      <c r="H14" s="869"/>
    </row>
    <row r="15" spans="1:9" x14ac:dyDescent="0.25">
      <c r="B15" s="241" t="s">
        <v>81</v>
      </c>
      <c r="C15" s="409">
        <f>ROUND(C12*C13*C14,0)</f>
        <v>108</v>
      </c>
      <c r="D15" s="869"/>
      <c r="E15" s="869"/>
      <c r="F15" s="869"/>
      <c r="G15" s="869"/>
      <c r="H15" s="869"/>
    </row>
    <row r="16" spans="1:9" x14ac:dyDescent="0.25">
      <c r="D16" s="6"/>
      <c r="E16" s="6"/>
    </row>
    <row r="17" spans="2:8" x14ac:dyDescent="0.25">
      <c r="B17" s="241" t="s">
        <v>49</v>
      </c>
      <c r="C17" s="410">
        <f>INP_Assumptions!$C$27</f>
        <v>14000</v>
      </c>
      <c r="D17" s="869"/>
      <c r="E17" s="869"/>
      <c r="F17" s="869"/>
      <c r="G17" s="869"/>
      <c r="H17" s="869"/>
    </row>
    <row r="18" spans="2:8" x14ac:dyDescent="0.25">
      <c r="B18" s="241" t="s">
        <v>46</v>
      </c>
      <c r="C18" s="410">
        <f>INP_Assumptions!$C$28</f>
        <v>18000</v>
      </c>
      <c r="D18" s="869"/>
      <c r="E18" s="869"/>
      <c r="F18" s="869"/>
      <c r="G18" s="869"/>
      <c r="H18" s="869"/>
    </row>
    <row r="19" spans="2:8" x14ac:dyDescent="0.25">
      <c r="B19" s="241" t="s">
        <v>47</v>
      </c>
      <c r="C19" s="186">
        <f>C18+C14*C17</f>
        <v>60000</v>
      </c>
      <c r="D19" s="869"/>
      <c r="E19" s="869"/>
      <c r="F19" s="869"/>
      <c r="G19" s="869"/>
      <c r="H19" s="869"/>
    </row>
    <row r="20" spans="2:8" x14ac:dyDescent="0.25">
      <c r="B20" s="241" t="s">
        <v>82</v>
      </c>
      <c r="C20" s="170">
        <f>C12*C13*C19</f>
        <v>2160000</v>
      </c>
      <c r="D20" s="869"/>
      <c r="E20" s="869"/>
      <c r="F20" s="869"/>
      <c r="G20" s="869"/>
      <c r="H20" s="869"/>
    </row>
    <row r="21" spans="2:8" x14ac:dyDescent="0.25">
      <c r="B21" s="241" t="s">
        <v>257</v>
      </c>
      <c r="C21" s="411">
        <f>HLOOKUP(C9,INP_Cordon_Assumptions!C$8:E$10,3,FALSE)</f>
        <v>0</v>
      </c>
      <c r="D21" s="869"/>
      <c r="E21" s="869"/>
      <c r="F21" s="869"/>
      <c r="G21" s="869"/>
      <c r="H21" s="869"/>
    </row>
    <row r="22" spans="2:8" x14ac:dyDescent="0.25">
      <c r="B22" s="241" t="s">
        <v>602</v>
      </c>
      <c r="C22" s="410">
        <f>INP_Assumptions!C25</f>
        <v>40000</v>
      </c>
      <c r="D22" s="869"/>
      <c r="E22" s="869"/>
      <c r="F22" s="869"/>
      <c r="G22" s="869"/>
      <c r="H22" s="869"/>
    </row>
    <row r="23" spans="2:8" x14ac:dyDescent="0.25">
      <c r="B23" s="241" t="s">
        <v>603</v>
      </c>
      <c r="C23" s="412">
        <f>C21*C22</f>
        <v>0</v>
      </c>
      <c r="D23" s="869"/>
      <c r="E23" s="869"/>
      <c r="F23" s="869"/>
      <c r="G23" s="869"/>
      <c r="H23" s="869"/>
    </row>
    <row r="24" spans="2:8" x14ac:dyDescent="0.25">
      <c r="B24" s="241" t="s">
        <v>258</v>
      </c>
      <c r="C24" s="413">
        <f>C21*INP_Assumptions!$C$26</f>
        <v>0</v>
      </c>
      <c r="D24" s="869" t="s">
        <v>604</v>
      </c>
      <c r="E24" s="869"/>
      <c r="F24" s="869"/>
      <c r="G24" s="869"/>
      <c r="H24" s="869"/>
    </row>
    <row r="25" spans="2:8" x14ac:dyDescent="0.25">
      <c r="B25" s="241" t="s">
        <v>48</v>
      </c>
      <c r="C25" s="414">
        <f>INP_Assumptions!$C$30</f>
        <v>6000</v>
      </c>
      <c r="D25" s="869" t="s">
        <v>203</v>
      </c>
      <c r="E25" s="869"/>
      <c r="F25" s="869"/>
      <c r="G25" s="869"/>
      <c r="H25" s="869"/>
    </row>
    <row r="26" spans="2:8" x14ac:dyDescent="0.25">
      <c r="B26" s="241" t="s">
        <v>51</v>
      </c>
      <c r="C26" s="186">
        <f>C12*C13*C25</f>
        <v>216000</v>
      </c>
      <c r="D26" s="869"/>
      <c r="E26" s="869"/>
      <c r="F26" s="869"/>
      <c r="G26" s="869"/>
      <c r="H26" s="869"/>
    </row>
    <row r="27" spans="2:8" x14ac:dyDescent="0.25">
      <c r="C27" s="2"/>
      <c r="D27" s="7"/>
      <c r="E27" s="7"/>
    </row>
    <row r="28" spans="2:8" x14ac:dyDescent="0.25">
      <c r="B28" s="241" t="s">
        <v>50</v>
      </c>
      <c r="C28" s="415">
        <f>INP_Assumptions!C31</f>
        <v>9000</v>
      </c>
      <c r="D28" s="869"/>
      <c r="E28" s="869"/>
      <c r="F28" s="869"/>
      <c r="G28" s="869"/>
      <c r="H28" s="869"/>
    </row>
    <row r="29" spans="2:8" x14ac:dyDescent="0.25">
      <c r="B29" s="241" t="s">
        <v>605</v>
      </c>
      <c r="C29" s="412">
        <f>C12*C13*C28</f>
        <v>324000</v>
      </c>
      <c r="D29" s="869"/>
      <c r="E29" s="869"/>
      <c r="F29" s="869"/>
      <c r="G29" s="869"/>
      <c r="H29" s="869"/>
    </row>
    <row r="30" spans="2:8" x14ac:dyDescent="0.25">
      <c r="C30" s="7"/>
      <c r="D30" s="7"/>
      <c r="E30" s="7"/>
    </row>
    <row r="31" spans="2:8" x14ac:dyDescent="0.25">
      <c r="B31" s="241" t="s">
        <v>608</v>
      </c>
      <c r="C31" s="416">
        <f>INP_Assumptions!C32</f>
        <v>0</v>
      </c>
      <c r="D31" s="869"/>
      <c r="E31" s="869"/>
      <c r="F31" s="869"/>
      <c r="G31" s="869"/>
      <c r="H31" s="869"/>
    </row>
    <row r="32" spans="2:8" x14ac:dyDescent="0.25">
      <c r="B32" s="241" t="s">
        <v>606</v>
      </c>
      <c r="C32" s="412">
        <f>C15*C17*C31</f>
        <v>0</v>
      </c>
      <c r="D32" s="869"/>
      <c r="E32" s="869"/>
      <c r="F32" s="869"/>
      <c r="G32" s="869"/>
      <c r="H32" s="869"/>
    </row>
    <row r="33" spans="2:8" x14ac:dyDescent="0.25">
      <c r="B33" s="417" t="s">
        <v>607</v>
      </c>
      <c r="C33" s="22"/>
      <c r="D33" s="7"/>
      <c r="E33" s="7"/>
    </row>
    <row r="34" spans="2:8" x14ac:dyDescent="0.25">
      <c r="D34" s="6"/>
    </row>
    <row r="35" spans="2:8" x14ac:dyDescent="0.25">
      <c r="B35" s="241" t="s">
        <v>55</v>
      </c>
      <c r="C35" s="410">
        <f>HLOOKUP($E$9,INP_Cordon_Assumptions!$B$18:$F$22,2,FALSE)</f>
        <v>408000</v>
      </c>
      <c r="D35" s="869"/>
      <c r="E35" s="869"/>
      <c r="F35" s="869"/>
      <c r="G35" s="869"/>
      <c r="H35" s="869"/>
    </row>
    <row r="36" spans="2:8" x14ac:dyDescent="0.25">
      <c r="B36" s="241" t="s">
        <v>609</v>
      </c>
      <c r="C36" s="412">
        <f>C35*INP_Assumptions!$C$17</f>
        <v>81600</v>
      </c>
      <c r="D36" s="869"/>
      <c r="E36" s="869"/>
      <c r="F36" s="869"/>
      <c r="G36" s="869"/>
      <c r="H36" s="869"/>
    </row>
    <row r="37" spans="2:8" x14ac:dyDescent="0.25">
      <c r="B37" s="241" t="s">
        <v>56</v>
      </c>
      <c r="C37" s="410">
        <f>HLOOKUP($E$9,INP_Cordon_Assumptions!$B$18:$F$22,3,FALSE)</f>
        <v>200000</v>
      </c>
      <c r="D37" s="869"/>
      <c r="E37" s="869"/>
      <c r="F37" s="869"/>
      <c r="G37" s="869"/>
      <c r="H37" s="869"/>
    </row>
    <row r="38" spans="2:8" x14ac:dyDescent="0.25">
      <c r="B38" s="241" t="s">
        <v>57</v>
      </c>
      <c r="C38" s="410">
        <f>HLOOKUP($E$9,INP_Cordon_Assumptions!$B$18:$F$22,4,FALSE)</f>
        <v>300000</v>
      </c>
      <c r="D38" s="869" t="s">
        <v>733</v>
      </c>
      <c r="E38" s="869"/>
      <c r="F38" s="869"/>
      <c r="G38" s="869"/>
      <c r="H38" s="869"/>
    </row>
    <row r="39" spans="2:8" x14ac:dyDescent="0.25">
      <c r="B39" s="241" t="s">
        <v>2</v>
      </c>
      <c r="C39" s="410">
        <f>HLOOKUP($E$9,INP_Cordon_Assumptions!$B$18:$F$22,5,FALSE)</f>
        <v>81600</v>
      </c>
      <c r="D39" s="869"/>
      <c r="E39" s="869"/>
      <c r="F39" s="869"/>
      <c r="G39" s="869"/>
      <c r="H39" s="869"/>
    </row>
    <row r="40" spans="2:8" x14ac:dyDescent="0.25">
      <c r="B40" s="241" t="s">
        <v>262</v>
      </c>
      <c r="C40" s="412">
        <f>C29+C39</f>
        <v>405600</v>
      </c>
      <c r="D40" s="869"/>
      <c r="E40" s="869"/>
      <c r="F40" s="869"/>
      <c r="G40" s="869"/>
      <c r="H40" s="869"/>
    </row>
    <row r="41" spans="2:8" x14ac:dyDescent="0.25">
      <c r="D41" s="6"/>
      <c r="E41" s="6"/>
    </row>
    <row r="42" spans="2:8" x14ac:dyDescent="0.25">
      <c r="C42" s="7"/>
      <c r="D42" s="6"/>
      <c r="E42" s="6"/>
    </row>
    <row r="43" spans="2:8" x14ac:dyDescent="0.25">
      <c r="B43" s="255" t="s">
        <v>699</v>
      </c>
      <c r="C43" s="255" t="s">
        <v>244</v>
      </c>
      <c r="D43" s="6"/>
      <c r="E43" s="6"/>
    </row>
    <row r="44" spans="2:8" x14ac:dyDescent="0.25">
      <c r="B44" s="241" t="str">
        <f>INP_Cordon_Assumptions!B26</f>
        <v>Cars</v>
      </c>
      <c r="C44" s="415">
        <f>HLOOKUP($E$9,INP_Cordon_Assumptions!$C$25:$F$31,2,FALSE)</f>
        <v>0</v>
      </c>
      <c r="D44" s="869"/>
      <c r="E44" s="869"/>
      <c r="F44" s="869"/>
      <c r="G44" s="869"/>
      <c r="H44" s="869"/>
    </row>
    <row r="45" spans="2:8" x14ac:dyDescent="0.25">
      <c r="B45" s="241" t="str">
        <f>INP_Cordon_Assumptions!B27</f>
        <v>Car-based Taxis</v>
      </c>
      <c r="C45" s="415">
        <f>HLOOKUP($E$9,INP_Cordon_Assumptions!$C$25:$F$31,3,FALSE)</f>
        <v>10</v>
      </c>
      <c r="D45" s="869"/>
      <c r="E45" s="869"/>
      <c r="F45" s="869"/>
      <c r="G45" s="869"/>
      <c r="H45" s="869"/>
    </row>
    <row r="46" spans="2:8" x14ac:dyDescent="0.25">
      <c r="B46" s="241" t="str">
        <f>INP_Cordon_Assumptions!B28</f>
        <v>Black Cabs</v>
      </c>
      <c r="C46" s="415">
        <f>HLOOKUP($E$9,INP_Cordon_Assumptions!$C$25:$F$31,4,FALSE)</f>
        <v>10</v>
      </c>
      <c r="D46" s="869"/>
      <c r="E46" s="869"/>
      <c r="F46" s="869"/>
      <c r="G46" s="869"/>
      <c r="H46" s="869"/>
    </row>
    <row r="47" spans="2:8" x14ac:dyDescent="0.25">
      <c r="B47" s="241" t="str">
        <f>INP_Cordon_Assumptions!B29</f>
        <v>LGVs</v>
      </c>
      <c r="C47" s="415">
        <f>HLOOKUP($E$9,INP_Cordon_Assumptions!$C$25:$F$31,5,FALSE)</f>
        <v>10</v>
      </c>
      <c r="D47" s="869"/>
      <c r="E47" s="869"/>
      <c r="F47" s="869"/>
      <c r="G47" s="869"/>
      <c r="H47" s="869"/>
    </row>
    <row r="48" spans="2:8" x14ac:dyDescent="0.25">
      <c r="B48" s="241" t="str">
        <f>INP_Cordon_Assumptions!B30</f>
        <v>HGVs</v>
      </c>
      <c r="C48" s="415">
        <f>HLOOKUP($E$9,INP_Cordon_Assumptions!$C$25:$F$31,6,FALSE)</f>
        <v>50</v>
      </c>
      <c r="D48" s="869"/>
      <c r="E48" s="869"/>
      <c r="F48" s="869"/>
      <c r="G48" s="869"/>
      <c r="H48" s="869"/>
    </row>
    <row r="49" spans="2:8" x14ac:dyDescent="0.25">
      <c r="B49" s="241" t="str">
        <f>INP_Cordon_Assumptions!B31</f>
        <v>Buses</v>
      </c>
      <c r="C49" s="415">
        <f>HLOOKUP($E$9,INP_Cordon_Assumptions!$C$25:$F$31,7,FALSE)</f>
        <v>50</v>
      </c>
      <c r="D49" s="869" t="s">
        <v>733</v>
      </c>
      <c r="E49" s="869"/>
      <c r="F49" s="869"/>
      <c r="G49" s="869"/>
      <c r="H49" s="869"/>
    </row>
    <row r="50" spans="2:8" x14ac:dyDescent="0.25">
      <c r="D50" s="6"/>
      <c r="E50" s="6"/>
    </row>
    <row r="51" spans="2:8" s="404" customFormat="1" x14ac:dyDescent="0.25">
      <c r="B51" s="423" t="s">
        <v>103</v>
      </c>
    </row>
    <row r="52" spans="2:8" s="405" customFormat="1" x14ac:dyDescent="0.25">
      <c r="B52" s="406"/>
    </row>
    <row r="53" spans="2:8" x14ac:dyDescent="0.25">
      <c r="B53" s="241" t="s">
        <v>113</v>
      </c>
      <c r="C53" s="411">
        <f>HLOOKUP($E$9,INP_T_Model_inputs!$C$9:$F$13,2,FALSE)</f>
        <v>0</v>
      </c>
      <c r="D53" s="869"/>
      <c r="E53" s="869"/>
      <c r="F53" s="869"/>
      <c r="G53" s="869"/>
      <c r="H53" s="869"/>
    </row>
    <row r="54" spans="2:8" x14ac:dyDescent="0.25">
      <c r="B54" s="241" t="s">
        <v>105</v>
      </c>
      <c r="C54" s="415">
        <f>PRO_Fleet_Assumptions!$C$18</f>
        <v>4700</v>
      </c>
      <c r="D54" s="869"/>
      <c r="E54" s="869"/>
      <c r="F54" s="869"/>
      <c r="G54" s="869"/>
      <c r="H54" s="869"/>
    </row>
    <row r="55" spans="2:8" s="23" customFormat="1" x14ac:dyDescent="0.25">
      <c r="B55" s="241" t="s">
        <v>106</v>
      </c>
      <c r="C55" s="415">
        <f>C53*C54</f>
        <v>0</v>
      </c>
      <c r="D55" s="869"/>
      <c r="E55" s="869"/>
      <c r="F55" s="869"/>
      <c r="G55" s="869"/>
      <c r="H55" s="869"/>
    </row>
    <row r="56" spans="2:8" s="23" customFormat="1" x14ac:dyDescent="0.25">
      <c r="B56" s="417"/>
      <c r="C56" s="30"/>
      <c r="D56" s="420"/>
      <c r="E56" s="420"/>
      <c r="F56" s="420"/>
      <c r="G56" s="420"/>
      <c r="H56" s="420"/>
    </row>
    <row r="57" spans="2:8" s="23" customFormat="1" x14ac:dyDescent="0.25">
      <c r="B57" s="241" t="s">
        <v>107</v>
      </c>
      <c r="C57" s="411">
        <f>HLOOKUP(C9,INP_Cordon_Assumptions!$C$35:$E$38,2,FALSE)</f>
        <v>0.85</v>
      </c>
      <c r="D57" s="869"/>
      <c r="E57" s="869"/>
      <c r="F57" s="869"/>
      <c r="G57" s="869"/>
      <c r="H57" s="869"/>
    </row>
    <row r="58" spans="2:8" s="23" customFormat="1" x14ac:dyDescent="0.25">
      <c r="B58" s="241" t="s">
        <v>111</v>
      </c>
      <c r="C58" s="415">
        <f>HLOOKUP(C9,INP_Cordon_Assumptions!$C$35:$E$38,3,FALSE)</f>
        <v>0.05</v>
      </c>
      <c r="D58" s="869"/>
      <c r="E58" s="869"/>
      <c r="F58" s="869"/>
      <c r="G58" s="869"/>
      <c r="H58" s="869"/>
    </row>
    <row r="59" spans="2:8" s="23" customFormat="1" x14ac:dyDescent="0.25">
      <c r="B59" s="241" t="s">
        <v>112</v>
      </c>
      <c r="C59" s="415">
        <f>HLOOKUP(C9,INP_Cordon_Assumptions!$C$35:$E$38,4,FALSE)</f>
        <v>9.9999999999999978E-2</v>
      </c>
      <c r="D59" s="869"/>
      <c r="E59" s="869"/>
      <c r="F59" s="869"/>
      <c r="G59" s="869"/>
      <c r="H59" s="869"/>
    </row>
    <row r="60" spans="2:8" s="23" customFormat="1" x14ac:dyDescent="0.25">
      <c r="B60" s="417"/>
      <c r="C60" s="30"/>
      <c r="D60" s="420"/>
      <c r="E60" s="420"/>
      <c r="F60" s="420"/>
      <c r="G60" s="420"/>
      <c r="H60" s="420"/>
    </row>
    <row r="61" spans="2:8" s="23" customFormat="1" x14ac:dyDescent="0.25">
      <c r="B61" s="255" t="s">
        <v>610</v>
      </c>
      <c r="C61" s="255" t="s">
        <v>611</v>
      </c>
      <c r="D61" s="255" t="s">
        <v>612</v>
      </c>
      <c r="E61" s="420"/>
      <c r="F61" s="420"/>
      <c r="G61" s="420"/>
      <c r="H61" s="420"/>
    </row>
    <row r="62" spans="2:8" s="23" customFormat="1" x14ac:dyDescent="0.25">
      <c r="B62" s="241" t="s">
        <v>37</v>
      </c>
      <c r="C62" s="412">
        <f>C57*$C$55</f>
        <v>0</v>
      </c>
      <c r="D62" s="412">
        <f>$C$53*C57*PRO_Fleet_Assumptions!$C$19</f>
        <v>0</v>
      </c>
      <c r="E62" s="869"/>
      <c r="F62" s="869"/>
      <c r="G62" s="869"/>
      <c r="H62" s="869"/>
    </row>
    <row r="63" spans="2:8" s="23" customFormat="1" x14ac:dyDescent="0.25">
      <c r="B63" s="241" t="s">
        <v>38</v>
      </c>
      <c r="C63" s="412">
        <f>C58*$C$55</f>
        <v>0</v>
      </c>
      <c r="D63" s="412">
        <f>$C$53*C58*PRO_Fleet_Assumptions!$C$19</f>
        <v>0</v>
      </c>
      <c r="E63" s="869"/>
      <c r="F63" s="869"/>
      <c r="G63" s="869"/>
      <c r="H63" s="869"/>
    </row>
    <row r="64" spans="2:8" s="23" customFormat="1" x14ac:dyDescent="0.25">
      <c r="B64" s="241" t="s">
        <v>114</v>
      </c>
      <c r="C64" s="412">
        <f>C59*$C$55</f>
        <v>0</v>
      </c>
      <c r="D64" s="412">
        <f>$C$53*C59*PRO_Fleet_Assumptions!$C$19</f>
        <v>0</v>
      </c>
      <c r="E64" s="869"/>
      <c r="F64" s="869"/>
      <c r="G64" s="869"/>
      <c r="H64" s="869"/>
    </row>
    <row r="65" spans="2:11" s="23" customFormat="1" x14ac:dyDescent="0.25">
      <c r="B65" s="255" t="s">
        <v>132</v>
      </c>
      <c r="C65" s="412">
        <f>SUM(C62:C64)</f>
        <v>0</v>
      </c>
      <c r="D65" s="412">
        <f>SUM(D62:D64)</f>
        <v>0</v>
      </c>
      <c r="E65" s="869"/>
      <c r="F65" s="869"/>
      <c r="G65" s="869"/>
      <c r="H65" s="869"/>
    </row>
    <row r="66" spans="2:11" s="23" customFormat="1" x14ac:dyDescent="0.25">
      <c r="B66" s="417"/>
      <c r="C66" s="30"/>
      <c r="D66" s="420"/>
      <c r="E66" s="420"/>
      <c r="F66" s="420"/>
      <c r="G66" s="420"/>
      <c r="H66" s="420"/>
    </row>
    <row r="67" spans="2:11" s="23" customFormat="1" ht="45" x14ac:dyDescent="0.25">
      <c r="B67" s="255" t="s">
        <v>613</v>
      </c>
      <c r="C67" s="255" t="s">
        <v>615</v>
      </c>
      <c r="D67" s="255" t="s">
        <v>616</v>
      </c>
      <c r="E67" s="420"/>
      <c r="F67" s="420"/>
      <c r="G67" s="420"/>
      <c r="H67" s="420"/>
    </row>
    <row r="68" spans="2:11" s="23" customFormat="1" x14ac:dyDescent="0.25">
      <c r="B68" s="241" t="s">
        <v>37</v>
      </c>
      <c r="C68" s="430">
        <f>HLOOKUP($E$9,INP_Cordon_Assumptions!$C$70:$F$80,2,FALSE)</f>
        <v>0</v>
      </c>
      <c r="D68" s="412">
        <f>2*C62*C68</f>
        <v>0</v>
      </c>
      <c r="E68" s="870" t="s">
        <v>130</v>
      </c>
      <c r="F68" s="871"/>
      <c r="G68" s="871"/>
      <c r="H68" s="872"/>
    </row>
    <row r="69" spans="2:11" s="23" customFormat="1" x14ac:dyDescent="0.25">
      <c r="B69" s="241" t="s">
        <v>38</v>
      </c>
      <c r="C69" s="430">
        <f>HLOOKUP($E$9,INP_Cordon_Assumptions!$C$70:$F$80,3,FALSE)</f>
        <v>0</v>
      </c>
      <c r="D69" s="412">
        <f>2*C63*C69</f>
        <v>0</v>
      </c>
      <c r="E69" s="870" t="s">
        <v>130</v>
      </c>
      <c r="F69" s="871"/>
      <c r="G69" s="871"/>
      <c r="H69" s="872"/>
    </row>
    <row r="70" spans="2:11" s="23" customFormat="1" x14ac:dyDescent="0.25">
      <c r="B70" s="241" t="s">
        <v>114</v>
      </c>
      <c r="C70" s="430">
        <f>HLOOKUP($E$9,INP_Cordon_Assumptions!$C$70:$F$80,4,FALSE)</f>
        <v>0</v>
      </c>
      <c r="D70" s="412">
        <f>2*C64*C70</f>
        <v>0</v>
      </c>
      <c r="E70" s="870" t="s">
        <v>130</v>
      </c>
      <c r="F70" s="871"/>
      <c r="G70" s="871"/>
      <c r="H70" s="872"/>
    </row>
    <row r="71" spans="2:11" s="23" customFormat="1" x14ac:dyDescent="0.25">
      <c r="B71" s="255" t="s">
        <v>614</v>
      </c>
      <c r="C71" s="422"/>
      <c r="D71" s="421">
        <f>SUM(D68:D70)</f>
        <v>0</v>
      </c>
      <c r="E71" s="870"/>
      <c r="F71" s="871"/>
      <c r="G71" s="871"/>
      <c r="H71" s="872"/>
    </row>
    <row r="72" spans="2:11" s="23" customFormat="1" x14ac:dyDescent="0.25">
      <c r="B72" s="241" t="s">
        <v>296</v>
      </c>
      <c r="C72" s="422"/>
      <c r="D72" s="412">
        <f>D71*INP_Assumptions!$C$16</f>
        <v>0</v>
      </c>
      <c r="E72" s="870"/>
      <c r="F72" s="871"/>
      <c r="G72" s="871"/>
      <c r="H72" s="872"/>
    </row>
    <row r="73" spans="2:11" x14ac:dyDescent="0.25">
      <c r="D73" s="6"/>
      <c r="E73" s="6"/>
      <c r="G73" s="1"/>
    </row>
    <row r="74" spans="2:11" x14ac:dyDescent="0.25">
      <c r="B74" s="241" t="s">
        <v>617</v>
      </c>
      <c r="C74" s="412">
        <f>C53*PRO_Fleet_Assumptions!$C$19</f>
        <v>0</v>
      </c>
      <c r="D74" s="869"/>
      <c r="E74" s="869"/>
      <c r="F74" s="869"/>
      <c r="G74" s="869"/>
      <c r="H74" s="869"/>
    </row>
    <row r="76" spans="2:11" x14ac:dyDescent="0.25">
      <c r="B76" s="241" t="s">
        <v>349</v>
      </c>
      <c r="C76" s="415">
        <f>HLOOKUP($E$9,INP_T_Model_inputs!$D$26:$G$31,2,FALSE)</f>
        <v>0</v>
      </c>
      <c r="D76" s="869" t="s">
        <v>463</v>
      </c>
      <c r="E76" s="869"/>
      <c r="F76" s="869"/>
      <c r="G76" s="869"/>
      <c r="H76" s="869"/>
    </row>
    <row r="77" spans="2:11" x14ac:dyDescent="0.25">
      <c r="B77" s="241" t="s">
        <v>349</v>
      </c>
      <c r="C77" s="412">
        <f>C76*365</f>
        <v>0</v>
      </c>
      <c r="D77" s="869" t="s">
        <v>464</v>
      </c>
      <c r="E77" s="869"/>
      <c r="F77" s="869"/>
      <c r="G77" s="869"/>
      <c r="H77" s="869"/>
    </row>
    <row r="78" spans="2:11" x14ac:dyDescent="0.25">
      <c r="B78" s="241" t="s">
        <v>348</v>
      </c>
      <c r="C78" s="412">
        <f>$C$77*C57</f>
        <v>0</v>
      </c>
      <c r="D78" s="869" t="s">
        <v>462</v>
      </c>
      <c r="E78" s="869"/>
      <c r="F78" s="869"/>
      <c r="G78" s="869"/>
      <c r="H78" s="869"/>
      <c r="I78" s="57"/>
      <c r="J78" s="23"/>
      <c r="K78" s="76"/>
    </row>
    <row r="79" spans="2:11" x14ac:dyDescent="0.25">
      <c r="B79" s="241" t="s">
        <v>350</v>
      </c>
      <c r="C79" s="412">
        <f>$C$77*C58</f>
        <v>0</v>
      </c>
      <c r="D79" s="869"/>
      <c r="E79" s="869"/>
      <c r="F79" s="869"/>
      <c r="G79" s="869"/>
      <c r="H79" s="869"/>
      <c r="I79" s="57"/>
      <c r="J79" s="23"/>
      <c r="K79" s="76"/>
    </row>
    <row r="80" spans="2:11" x14ac:dyDescent="0.25">
      <c r="B80" s="241" t="s">
        <v>351</v>
      </c>
      <c r="C80" s="412">
        <f>$C$77*C59</f>
        <v>0</v>
      </c>
      <c r="D80" s="869"/>
      <c r="E80" s="869"/>
      <c r="F80" s="869"/>
      <c r="G80" s="869"/>
      <c r="H80" s="869"/>
      <c r="I80" s="57"/>
      <c r="J80" s="23"/>
      <c r="K80" s="76"/>
    </row>
    <row r="81" spans="2:11" x14ac:dyDescent="0.25">
      <c r="C81" s="7"/>
      <c r="D81" s="6"/>
      <c r="E81" s="6"/>
      <c r="I81" s="57"/>
      <c r="J81" s="23"/>
      <c r="K81" s="76"/>
    </row>
    <row r="82" spans="2:11" s="404" customFormat="1" x14ac:dyDescent="0.25">
      <c r="B82" s="423" t="s">
        <v>4</v>
      </c>
    </row>
    <row r="83" spans="2:11" x14ac:dyDescent="0.25">
      <c r="C83" s="7"/>
      <c r="D83" s="6"/>
      <c r="E83" s="6"/>
      <c r="I83" s="57"/>
      <c r="J83" s="23"/>
      <c r="K83" s="76"/>
    </row>
    <row r="84" spans="2:11" x14ac:dyDescent="0.25">
      <c r="B84" s="241" t="str">
        <f>PRO_Fleet_Assumptions!B23</f>
        <v>Electric taxis for SCC (EMF)</v>
      </c>
      <c r="C84" s="415">
        <f>PRO_Fleet_Assumptions!C23</f>
        <v>485000</v>
      </c>
      <c r="D84" s="869"/>
      <c r="E84" s="869"/>
      <c r="F84" s="869"/>
      <c r="G84" s="869"/>
      <c r="H84" s="869"/>
      <c r="I84" s="57"/>
      <c r="J84" s="23"/>
      <c r="K84" s="76"/>
    </row>
    <row r="85" spans="2:11" x14ac:dyDescent="0.25">
      <c r="C85" s="7"/>
      <c r="D85" s="6"/>
      <c r="E85" s="6"/>
      <c r="I85" s="57"/>
      <c r="J85" s="23"/>
      <c r="K85" s="76"/>
    </row>
    <row r="86" spans="2:11" x14ac:dyDescent="0.25">
      <c r="B86" s="169" t="s">
        <v>618</v>
      </c>
      <c r="C86" s="415">
        <f>PRO_Fleet_Assumptions!C27</f>
        <v>10000</v>
      </c>
      <c r="D86" s="869"/>
      <c r="E86" s="869"/>
      <c r="F86" s="869"/>
      <c r="G86" s="869"/>
      <c r="H86" s="869"/>
      <c r="I86" s="57"/>
      <c r="J86" s="23"/>
      <c r="K86" s="76"/>
    </row>
    <row r="87" spans="2:11" x14ac:dyDescent="0.25">
      <c r="B87" s="169" t="s">
        <v>619</v>
      </c>
      <c r="C87" s="415">
        <f>PRO_Fleet_Assumptions!$C$28</f>
        <v>25300</v>
      </c>
      <c r="D87" s="869"/>
      <c r="E87" s="869"/>
      <c r="F87" s="869"/>
      <c r="G87" s="869"/>
      <c r="H87" s="869"/>
      <c r="I87" s="57"/>
      <c r="J87" s="23"/>
      <c r="K87" s="76"/>
    </row>
    <row r="88" spans="2:11" x14ac:dyDescent="0.25">
      <c r="B88" s="169" t="s">
        <v>91</v>
      </c>
      <c r="C88" s="425">
        <f>PRO_Fleet_Assumptions!C24</f>
        <v>823</v>
      </c>
      <c r="D88" s="869" t="s">
        <v>267</v>
      </c>
      <c r="E88" s="869"/>
      <c r="F88" s="869"/>
      <c r="G88" s="869"/>
      <c r="H88" s="869"/>
      <c r="I88" s="57"/>
      <c r="J88" s="23"/>
      <c r="K88" s="76"/>
    </row>
    <row r="89" spans="2:11" x14ac:dyDescent="0.25">
      <c r="C89" s="7"/>
      <c r="D89" s="6"/>
      <c r="E89" s="6"/>
      <c r="I89" s="57"/>
      <c r="J89" s="23"/>
      <c r="K89" s="76"/>
    </row>
    <row r="90" spans="2:11" ht="30" x14ac:dyDescent="0.25">
      <c r="B90" s="206" t="s">
        <v>37</v>
      </c>
      <c r="C90" s="243" t="s">
        <v>623</v>
      </c>
      <c r="D90" s="243" t="s">
        <v>624</v>
      </c>
      <c r="E90" s="6"/>
      <c r="I90" s="57"/>
      <c r="J90" s="23"/>
      <c r="K90" s="76"/>
    </row>
    <row r="91" spans="2:11" x14ac:dyDescent="0.25">
      <c r="B91" s="169" t="s">
        <v>620</v>
      </c>
      <c r="C91" s="430">
        <f>MIN(HLOOKUP($E$9,INP_T_Model_inputs!$C$17:$F$21,2,FALSE),PRO_Fleet_Assumptions!$C$25)</f>
        <v>0.17</v>
      </c>
      <c r="D91" s="430">
        <f>HLOOKUP($E$9,INP_T_Model_inputs!$C$17:$F$21,3,FALSE)+HLOOKUP($E$9,INP_T_Model_inputs!$C$17:$F$21,2,FALSE)-C91</f>
        <v>0.7659999999999999</v>
      </c>
      <c r="E91" s="869"/>
      <c r="F91" s="869"/>
      <c r="G91" s="869"/>
      <c r="H91" s="869"/>
      <c r="I91" s="57"/>
      <c r="J91" s="23"/>
      <c r="K91" s="76"/>
    </row>
    <row r="92" spans="2:11" x14ac:dyDescent="0.25">
      <c r="B92" s="169" t="s">
        <v>621</v>
      </c>
      <c r="C92" s="429">
        <f>ROUND(C88*C91,0)</f>
        <v>140</v>
      </c>
      <c r="D92" s="426">
        <f>ROUND(C88*D91,0)</f>
        <v>630</v>
      </c>
      <c r="E92" s="869"/>
      <c r="F92" s="869"/>
      <c r="G92" s="869"/>
      <c r="H92" s="869"/>
      <c r="I92" s="57"/>
      <c r="J92" s="23"/>
      <c r="K92" s="76"/>
    </row>
    <row r="93" spans="2:11" x14ac:dyDescent="0.25">
      <c r="B93" s="169" t="s">
        <v>622</v>
      </c>
      <c r="C93" s="428">
        <f>C86*C92</f>
        <v>1400000</v>
      </c>
      <c r="D93" s="427">
        <f>C87*D92</f>
        <v>15939000</v>
      </c>
      <c r="E93" s="869"/>
      <c r="F93" s="869"/>
      <c r="G93" s="869"/>
      <c r="H93" s="869"/>
      <c r="I93" s="57"/>
      <c r="J93" s="23"/>
      <c r="K93" s="76"/>
    </row>
    <row r="94" spans="2:11" x14ac:dyDescent="0.25">
      <c r="B94" s="169" t="s">
        <v>625</v>
      </c>
      <c r="C94" s="430">
        <f>HLOOKUP($E$9,INP_Cordon_Assumptions!$C$70:$F$80,5,FALSE)</f>
        <v>0</v>
      </c>
      <c r="D94" s="416">
        <f>HLOOKUP($E$9,INP_Cordon_Assumptions!$C$70:$F$80,6,FALSE)</f>
        <v>1</v>
      </c>
      <c r="E94" s="869"/>
      <c r="F94" s="869"/>
      <c r="G94" s="869"/>
      <c r="H94" s="869"/>
      <c r="I94" s="57"/>
      <c r="J94" s="23"/>
      <c r="K94" s="76"/>
    </row>
    <row r="95" spans="2:11" ht="31.9" customHeight="1" x14ac:dyDescent="0.25">
      <c r="B95" s="169" t="s">
        <v>626</v>
      </c>
      <c r="C95" s="186">
        <f>C93*C94</f>
        <v>0</v>
      </c>
      <c r="D95" s="412">
        <f>2*D93*D94</f>
        <v>31878000</v>
      </c>
      <c r="E95" s="877" t="s">
        <v>833</v>
      </c>
      <c r="F95" s="877"/>
      <c r="G95" s="877"/>
      <c r="H95" s="877"/>
      <c r="I95" s="57"/>
      <c r="J95" s="23"/>
      <c r="K95" s="76"/>
    </row>
    <row r="96" spans="2:11" x14ac:dyDescent="0.25">
      <c r="B96" s="169" t="s">
        <v>627</v>
      </c>
      <c r="C96" s="41">
        <f>C95/C92</f>
        <v>0</v>
      </c>
      <c r="D96" s="431">
        <f>D95/D92</f>
        <v>50600</v>
      </c>
      <c r="E96" s="869"/>
      <c r="F96" s="869"/>
      <c r="G96" s="869"/>
      <c r="H96" s="869"/>
      <c r="I96" s="57"/>
      <c r="J96" s="23"/>
      <c r="K96" s="76"/>
    </row>
    <row r="97" spans="1:11" x14ac:dyDescent="0.25">
      <c r="B97" s="169" t="s">
        <v>293</v>
      </c>
      <c r="C97" s="432">
        <f>1-D97</f>
        <v>0</v>
      </c>
      <c r="D97" s="432">
        <f>MIN(2*D91,1)</f>
        <v>1</v>
      </c>
      <c r="E97" s="869"/>
      <c r="F97" s="869"/>
      <c r="G97" s="869"/>
      <c r="H97" s="869"/>
      <c r="I97" s="57"/>
      <c r="J97" s="23"/>
      <c r="K97" s="76"/>
    </row>
    <row r="98" spans="1:11" x14ac:dyDescent="0.25">
      <c r="B98" s="169" t="s">
        <v>628</v>
      </c>
      <c r="C98" s="433">
        <f>C88*C97*C96</f>
        <v>0</v>
      </c>
      <c r="D98" s="433">
        <f>C88*D97*D96</f>
        <v>41643800</v>
      </c>
      <c r="E98" s="869"/>
      <c r="F98" s="869"/>
      <c r="G98" s="869"/>
      <c r="H98" s="869"/>
      <c r="I98" s="57"/>
      <c r="J98" s="23"/>
      <c r="K98" s="76"/>
    </row>
    <row r="99" spans="1:11" x14ac:dyDescent="0.25">
      <c r="B99" s="169" t="s">
        <v>629</v>
      </c>
      <c r="C99" s="433">
        <f>D92*PRO_Fleet_Assumptions!$C$33</f>
        <v>2583000</v>
      </c>
      <c r="D99" s="874"/>
      <c r="E99" s="875"/>
      <c r="F99" s="875"/>
      <c r="G99" s="875"/>
      <c r="H99" s="876"/>
      <c r="I99" s="57"/>
      <c r="J99" s="23"/>
      <c r="K99" s="76"/>
    </row>
    <row r="100" spans="1:11" x14ac:dyDescent="0.25">
      <c r="C100" s="7"/>
      <c r="D100" s="6"/>
      <c r="E100" s="6"/>
      <c r="I100" s="57"/>
      <c r="J100" s="23"/>
      <c r="K100" s="76"/>
    </row>
    <row r="101" spans="1:11" x14ac:dyDescent="0.25">
      <c r="B101" s="169" t="s">
        <v>657</v>
      </c>
      <c r="C101" s="415">
        <f>PRO_Fleet_Assumptions!$C$29</f>
        <v>20000</v>
      </c>
      <c r="D101" s="869"/>
      <c r="E101" s="869"/>
      <c r="F101" s="869"/>
      <c r="G101" s="869"/>
      <c r="H101" s="869"/>
      <c r="I101" s="57"/>
      <c r="J101" s="23"/>
      <c r="K101" s="76"/>
    </row>
    <row r="102" spans="1:11" x14ac:dyDescent="0.25">
      <c r="B102" s="169" t="s">
        <v>658</v>
      </c>
      <c r="C102" s="412">
        <f>C101*D92</f>
        <v>12600000</v>
      </c>
      <c r="D102" s="869" t="s">
        <v>206</v>
      </c>
      <c r="E102" s="869"/>
      <c r="F102" s="869"/>
      <c r="G102" s="869"/>
      <c r="H102" s="869"/>
      <c r="I102" s="57"/>
      <c r="J102" s="23"/>
      <c r="K102" s="76"/>
    </row>
    <row r="103" spans="1:11" x14ac:dyDescent="0.25">
      <c r="E103" s="6"/>
      <c r="I103" s="57"/>
      <c r="J103" s="23"/>
      <c r="K103" s="76"/>
    </row>
    <row r="104" spans="1:11" x14ac:dyDescent="0.25">
      <c r="B104" s="169" t="s">
        <v>233</v>
      </c>
      <c r="C104" s="465">
        <f>C88-(C92+D92)</f>
        <v>53</v>
      </c>
      <c r="D104" s="869"/>
      <c r="E104" s="869"/>
      <c r="F104" s="869"/>
      <c r="G104" s="869"/>
      <c r="H104" s="869"/>
      <c r="I104" s="57"/>
      <c r="J104" s="23"/>
      <c r="K104" s="76"/>
    </row>
    <row r="105" spans="1:11" ht="30" x14ac:dyDescent="0.25">
      <c r="B105" s="243" t="s">
        <v>263</v>
      </c>
      <c r="C105" s="474">
        <f>HLOOKUP($C$9,INP_Cordon_Assumptions!$C$42:$E$44,2,FALSE)</f>
        <v>360</v>
      </c>
      <c r="D105" s="869"/>
      <c r="E105" s="869"/>
      <c r="F105" s="869"/>
      <c r="G105" s="869"/>
      <c r="H105" s="869"/>
      <c r="I105" s="57"/>
      <c r="J105" s="23"/>
      <c r="K105" s="76"/>
    </row>
    <row r="106" spans="1:11" x14ac:dyDescent="0.25">
      <c r="B106" s="169" t="s">
        <v>244</v>
      </c>
      <c r="C106" s="415">
        <f>$C$46</f>
        <v>10</v>
      </c>
      <c r="D106" s="869"/>
      <c r="E106" s="869"/>
      <c r="F106" s="869"/>
      <c r="G106" s="869"/>
      <c r="H106" s="869"/>
      <c r="I106" s="57"/>
      <c r="J106" s="23"/>
      <c r="K106" s="76"/>
    </row>
    <row r="107" spans="1:11" x14ac:dyDescent="0.25">
      <c r="A107" s="21"/>
      <c r="B107" s="169" t="s">
        <v>237</v>
      </c>
      <c r="C107" s="433">
        <f>C104*C105*C106</f>
        <v>190800</v>
      </c>
      <c r="D107" s="869"/>
      <c r="E107" s="869"/>
      <c r="F107" s="869"/>
      <c r="G107" s="869"/>
      <c r="H107" s="869"/>
    </row>
    <row r="108" spans="1:11" x14ac:dyDescent="0.25">
      <c r="B108" s="169" t="s">
        <v>64</v>
      </c>
      <c r="C108" s="415">
        <f>PRO_Fleet_Assumptions!C35</f>
        <v>9900</v>
      </c>
      <c r="D108" s="869" t="s">
        <v>264</v>
      </c>
      <c r="E108" s="869"/>
      <c r="F108" s="869"/>
      <c r="G108" s="869"/>
      <c r="H108" s="869"/>
      <c r="I108" s="39"/>
    </row>
    <row r="109" spans="1:11" x14ac:dyDescent="0.25">
      <c r="B109" s="1"/>
    </row>
    <row r="110" spans="1:11" x14ac:dyDescent="0.25">
      <c r="B110" s="169" t="s">
        <v>678</v>
      </c>
      <c r="C110" s="169" t="s">
        <v>37</v>
      </c>
      <c r="D110" s="169" t="s">
        <v>38</v>
      </c>
    </row>
    <row r="111" spans="1:11" x14ac:dyDescent="0.25">
      <c r="B111" s="169" t="s">
        <v>240</v>
      </c>
      <c r="C111" s="474">
        <f>PRO_Fleet_Assumptions!C37</f>
        <v>1929</v>
      </c>
      <c r="D111" s="474">
        <f>PRO_Fleet_Assumptions!C38</f>
        <v>776</v>
      </c>
      <c r="E111" s="869"/>
      <c r="F111" s="869"/>
      <c r="G111" s="869"/>
      <c r="H111" s="869"/>
      <c r="I111" s="2"/>
    </row>
    <row r="112" spans="1:11" x14ac:dyDescent="0.25">
      <c r="B112" s="169" t="s">
        <v>679</v>
      </c>
      <c r="C112" s="430">
        <f>HLOOKUP($E$9,INP_T_Model_inputs!$C$17:$F$21,4,FALSE)</f>
        <v>0.98</v>
      </c>
      <c r="D112" s="430">
        <f>HLOOKUP($E$9,INP_T_Model_inputs!$C$17:$F$21,5,FALSE)</f>
        <v>0.6</v>
      </c>
      <c r="E112" s="869"/>
      <c r="F112" s="869"/>
      <c r="G112" s="869"/>
      <c r="H112" s="869"/>
      <c r="I112" s="2"/>
    </row>
    <row r="113" spans="2:9" x14ac:dyDescent="0.25">
      <c r="B113" s="169" t="s">
        <v>199</v>
      </c>
      <c r="C113" s="465">
        <f>ROUND(C111*C112,0)</f>
        <v>1890</v>
      </c>
      <c r="D113" s="465">
        <f>ROUND(D111*D112,0)</f>
        <v>466</v>
      </c>
      <c r="E113" s="869"/>
      <c r="F113" s="869"/>
      <c r="G113" s="869"/>
      <c r="H113" s="869"/>
      <c r="I113" s="2"/>
    </row>
    <row r="114" spans="2:9" x14ac:dyDescent="0.25">
      <c r="B114" s="169" t="s">
        <v>35</v>
      </c>
      <c r="C114" s="433">
        <f>C108*C113</f>
        <v>18711000</v>
      </c>
      <c r="D114" s="433">
        <f>C108*D113</f>
        <v>4613400</v>
      </c>
      <c r="E114" s="869"/>
      <c r="F114" s="869"/>
      <c r="G114" s="869"/>
      <c r="H114" s="869"/>
      <c r="I114" s="2"/>
    </row>
    <row r="115" spans="2:9" x14ac:dyDescent="0.25">
      <c r="B115" s="169" t="s">
        <v>292</v>
      </c>
      <c r="C115" s="430">
        <f>HLOOKUP($E$9,INP_Cordon_Assumptions!$C$70:$F$80,7,FALSE)</f>
        <v>1</v>
      </c>
      <c r="D115" s="430">
        <f>HLOOKUP($E$9,INP_Cordon_Assumptions!$C$70:$F$80,8,FALSE)</f>
        <v>0.2</v>
      </c>
      <c r="E115" s="869"/>
      <c r="F115" s="869"/>
      <c r="G115" s="869"/>
      <c r="H115" s="869"/>
      <c r="I115" s="2"/>
    </row>
    <row r="116" spans="2:9" x14ac:dyDescent="0.25">
      <c r="B116" s="169" t="s">
        <v>680</v>
      </c>
      <c r="C116" s="433">
        <f>2*C114*C115</f>
        <v>37422000</v>
      </c>
      <c r="D116" s="433">
        <f>2*D114*D115</f>
        <v>1845360</v>
      </c>
      <c r="E116" s="869" t="s">
        <v>130</v>
      </c>
      <c r="F116" s="869"/>
      <c r="G116" s="869"/>
      <c r="H116" s="869"/>
    </row>
    <row r="117" spans="2:9" x14ac:dyDescent="0.25">
      <c r="B117" s="169" t="s">
        <v>681</v>
      </c>
      <c r="C117" s="433">
        <f>C116/C113</f>
        <v>19800</v>
      </c>
      <c r="D117" s="433">
        <f>D116/D113</f>
        <v>3960</v>
      </c>
      <c r="E117" s="869"/>
      <c r="F117" s="869"/>
      <c r="G117" s="869"/>
      <c r="H117" s="869"/>
    </row>
    <row r="118" spans="2:9" x14ac:dyDescent="0.25">
      <c r="B118" s="169" t="s">
        <v>682</v>
      </c>
      <c r="C118" s="430">
        <f>1</f>
        <v>1</v>
      </c>
      <c r="D118" s="432">
        <f>D112*D115*2</f>
        <v>0.24</v>
      </c>
      <c r="E118" s="869"/>
      <c r="F118" s="869"/>
      <c r="G118" s="869"/>
      <c r="H118" s="869"/>
    </row>
    <row r="119" spans="2:9" x14ac:dyDescent="0.25">
      <c r="B119" s="169" t="s">
        <v>683</v>
      </c>
      <c r="C119" s="433">
        <f>C111*C118*C117</f>
        <v>38194200</v>
      </c>
      <c r="D119" s="783">
        <f>D111*D118*D117</f>
        <v>737510.39999999991</v>
      </c>
      <c r="E119" s="869"/>
      <c r="F119" s="869"/>
      <c r="G119" s="869"/>
      <c r="H119" s="869"/>
    </row>
    <row r="120" spans="2:9" x14ac:dyDescent="0.25">
      <c r="C120" s="8"/>
      <c r="E120" s="9"/>
      <c r="F120" s="8"/>
      <c r="G120" s="7"/>
      <c r="H120" s="75"/>
      <c r="I120" s="2"/>
    </row>
    <row r="121" spans="2:9" x14ac:dyDescent="0.25">
      <c r="C121" s="8"/>
      <c r="D121" s="3" t="s">
        <v>834</v>
      </c>
      <c r="E121" s="9" t="s">
        <v>835</v>
      </c>
      <c r="F121" s="719" t="s">
        <v>836</v>
      </c>
      <c r="G121" s="723" t="s">
        <v>837</v>
      </c>
      <c r="H121" s="75"/>
      <c r="I121" s="2"/>
    </row>
    <row r="122" spans="2:9" x14ac:dyDescent="0.25">
      <c r="B122" s="169" t="s">
        <v>133</v>
      </c>
      <c r="C122" s="466">
        <f>C95+D95+C116+D116</f>
        <v>71145360</v>
      </c>
      <c r="D122" s="722">
        <f>C95/$C$122</f>
        <v>0</v>
      </c>
      <c r="E122" s="722">
        <f>D95/$C$122</f>
        <v>0.44806857397306021</v>
      </c>
      <c r="F122" s="722">
        <f>C116/$C$122</f>
        <v>0.52599354335967941</v>
      </c>
      <c r="G122" s="722">
        <f>D116/$C$122</f>
        <v>2.5937882667260381E-2</v>
      </c>
      <c r="H122" s="721"/>
      <c r="I122" s="2"/>
    </row>
    <row r="123" spans="2:9" x14ac:dyDescent="0.25">
      <c r="B123" s="169" t="s">
        <v>294</v>
      </c>
      <c r="C123" s="466">
        <f>C98+D98+C119+D119</f>
        <v>80575510.400000006</v>
      </c>
      <c r="D123" s="874"/>
      <c r="E123" s="875"/>
      <c r="F123" s="875"/>
      <c r="G123" s="875"/>
      <c r="H123" s="876"/>
      <c r="I123" s="2"/>
    </row>
    <row r="124" spans="2:9" x14ac:dyDescent="0.25">
      <c r="B124" s="169" t="s">
        <v>295</v>
      </c>
      <c r="C124" s="466">
        <f>C123-C122</f>
        <v>9430150.400000006</v>
      </c>
      <c r="D124" s="874"/>
      <c r="E124" s="875"/>
      <c r="F124" s="875"/>
      <c r="G124" s="875"/>
      <c r="H124" s="876"/>
      <c r="I124" s="2"/>
    </row>
    <row r="125" spans="2:9" x14ac:dyDescent="0.25">
      <c r="C125" s="8"/>
      <c r="E125" s="9"/>
      <c r="F125" s="8"/>
      <c r="G125" s="7"/>
      <c r="H125" s="75"/>
      <c r="I125" s="2"/>
    </row>
    <row r="126" spans="2:9" x14ac:dyDescent="0.25">
      <c r="B126" s="1"/>
      <c r="C126" s="204" t="s">
        <v>225</v>
      </c>
      <c r="D126" s="204" t="s">
        <v>226</v>
      </c>
      <c r="E126" s="204" t="s">
        <v>178</v>
      </c>
      <c r="F126" s="719" t="s">
        <v>832</v>
      </c>
      <c r="G126" s="7"/>
      <c r="I126" s="2"/>
    </row>
    <row r="127" spans="2:9" x14ac:dyDescent="0.25">
      <c r="B127" s="169" t="s">
        <v>224</v>
      </c>
      <c r="C127" s="415">
        <f>HLOOKUP($E$9,INP_Assumptions!$C$36:$F$39,2,FALSE)</f>
        <v>1000</v>
      </c>
      <c r="D127" s="192">
        <f>C92+D92</f>
        <v>770</v>
      </c>
      <c r="E127" s="191">
        <f>D127*C127</f>
        <v>770000</v>
      </c>
      <c r="F127" s="718">
        <f>E127/(E127+E128)</f>
        <v>0.44897959183673469</v>
      </c>
      <c r="G127" s="716"/>
      <c r="H127" s="716"/>
      <c r="I127" s="2"/>
    </row>
    <row r="128" spans="2:9" x14ac:dyDescent="0.25">
      <c r="B128" s="169" t="s">
        <v>253</v>
      </c>
      <c r="C128" s="415">
        <f>HLOOKUP($E$9,INP_Assumptions!$C$36:$F$39,3,FALSE)</f>
        <v>500</v>
      </c>
      <c r="D128" s="192">
        <f>C113</f>
        <v>1890</v>
      </c>
      <c r="E128" s="191">
        <f>D128*C128</f>
        <v>945000</v>
      </c>
      <c r="F128" s="718">
        <f>E128/(E127+E128)</f>
        <v>0.55102040816326525</v>
      </c>
      <c r="G128" s="717"/>
      <c r="H128" s="717"/>
      <c r="I128" s="2"/>
    </row>
    <row r="129" spans="2:9" x14ac:dyDescent="0.25">
      <c r="B129" s="169" t="s">
        <v>227</v>
      </c>
      <c r="C129" s="415">
        <f>HLOOKUP($E$9,INP_Assumptions!$C$36:$F$39,4,FALSE)</f>
        <v>250</v>
      </c>
      <c r="D129" s="475">
        <f>D113</f>
        <v>466</v>
      </c>
      <c r="E129" s="191">
        <f>D129*C129</f>
        <v>116500</v>
      </c>
      <c r="F129" s="873"/>
      <c r="G129" s="873"/>
      <c r="H129" s="873"/>
      <c r="I129" s="2"/>
    </row>
    <row r="130" spans="2:9" x14ac:dyDescent="0.25">
      <c r="F130" s="8"/>
      <c r="G130" s="7"/>
      <c r="H130" s="49"/>
      <c r="I130" s="2"/>
    </row>
    <row r="131" spans="2:9" x14ac:dyDescent="0.25">
      <c r="B131" s="169" t="s">
        <v>684</v>
      </c>
      <c r="C131" s="466">
        <f>C113*PRO_Fleet_Assumptions!$C$40</f>
        <v>2835000</v>
      </c>
      <c r="D131" s="874"/>
      <c r="E131" s="875"/>
      <c r="F131" s="875"/>
      <c r="G131" s="875"/>
      <c r="H131" s="876"/>
      <c r="I131" s="2"/>
    </row>
    <row r="132" spans="2:9" x14ac:dyDescent="0.25">
      <c r="B132" s="169" t="s">
        <v>685</v>
      </c>
      <c r="C132" s="466">
        <f>D113*PRO_Fleet_Assumptions!$C$40</f>
        <v>699000</v>
      </c>
      <c r="D132" s="874"/>
      <c r="E132" s="875"/>
      <c r="F132" s="875"/>
      <c r="G132" s="875"/>
      <c r="H132" s="876"/>
      <c r="I132" s="2"/>
    </row>
    <row r="133" spans="2:9" x14ac:dyDescent="0.25">
      <c r="F133" s="8"/>
      <c r="G133" s="7"/>
      <c r="H133" s="49"/>
      <c r="I133" s="2"/>
    </row>
    <row r="134" spans="2:9" ht="30" x14ac:dyDescent="0.25">
      <c r="B134" s="204"/>
      <c r="C134" s="204" t="s">
        <v>226</v>
      </c>
      <c r="D134" s="204" t="s">
        <v>243</v>
      </c>
      <c r="E134" s="204" t="s">
        <v>244</v>
      </c>
      <c r="F134" s="467" t="s">
        <v>237</v>
      </c>
      <c r="G134" s="7"/>
      <c r="H134" s="49"/>
      <c r="I134" s="2"/>
    </row>
    <row r="135" spans="2:9" x14ac:dyDescent="0.25">
      <c r="B135" s="204" t="s">
        <v>238</v>
      </c>
      <c r="C135" s="465">
        <f>(C111-C113)</f>
        <v>39</v>
      </c>
      <c r="D135" s="474">
        <f>HLOOKUP($C$9,INP_Cordon_Assumptions!$C$42:$E$44,2,FALSE)</f>
        <v>360</v>
      </c>
      <c r="E135" s="433">
        <f>$C$45</f>
        <v>10</v>
      </c>
      <c r="F135" s="433">
        <f>C135*D135*E135</f>
        <v>140400</v>
      </c>
      <c r="G135" s="7"/>
      <c r="H135" s="49"/>
      <c r="I135" s="2"/>
    </row>
    <row r="136" spans="2:9" x14ac:dyDescent="0.25">
      <c r="B136" s="169" t="s">
        <v>239</v>
      </c>
      <c r="C136" s="465">
        <f>(D111-D113)</f>
        <v>310</v>
      </c>
      <c r="D136" s="474">
        <f>HLOOKUP($C$9,INP_Cordon_Assumptions!$C$42:$E$44,3,FALSE)</f>
        <v>50</v>
      </c>
      <c r="E136" s="433">
        <f>$C$45</f>
        <v>10</v>
      </c>
      <c r="F136" s="433">
        <f>C136*D136*E136</f>
        <v>155000</v>
      </c>
      <c r="G136" s="7"/>
      <c r="H136" s="49"/>
      <c r="I136" s="2"/>
    </row>
    <row r="137" spans="2:9" x14ac:dyDescent="0.25">
      <c r="B137" s="1"/>
      <c r="C137" s="57"/>
      <c r="E137" s="9"/>
      <c r="F137" s="8"/>
      <c r="G137" s="7"/>
      <c r="H137" s="49"/>
      <c r="I137" s="2"/>
    </row>
    <row r="138" spans="2:9" x14ac:dyDescent="0.25">
      <c r="B138" s="169" t="s">
        <v>200</v>
      </c>
      <c r="C138" s="415">
        <f>PRO_Fleet_Assumptions!C36</f>
        <v>7400</v>
      </c>
      <c r="D138" s="874"/>
      <c r="E138" s="875"/>
      <c r="F138" s="875"/>
      <c r="G138" s="875"/>
      <c r="H138" s="876"/>
      <c r="I138" s="2"/>
    </row>
    <row r="139" spans="2:9" x14ac:dyDescent="0.25">
      <c r="B139" s="169" t="s">
        <v>198</v>
      </c>
      <c r="C139" s="192">
        <f>C113*$C$138</f>
        <v>13986000</v>
      </c>
      <c r="D139" s="874"/>
      <c r="E139" s="875"/>
      <c r="F139" s="875"/>
      <c r="G139" s="875"/>
      <c r="H139" s="876"/>
      <c r="I139" s="2"/>
    </row>
    <row r="140" spans="2:9" x14ac:dyDescent="0.25">
      <c r="B140" s="169" t="s">
        <v>201</v>
      </c>
      <c r="C140" s="192">
        <f>D113*$C$138</f>
        <v>3448400</v>
      </c>
      <c r="D140" s="874"/>
      <c r="E140" s="875"/>
      <c r="F140" s="875"/>
      <c r="G140" s="875"/>
      <c r="H140" s="876"/>
      <c r="I140" s="2"/>
    </row>
    <row r="141" spans="2:9" x14ac:dyDescent="0.25">
      <c r="B141" s="1"/>
      <c r="C141" s="5"/>
      <c r="D141" s="2"/>
      <c r="E141" s="2"/>
      <c r="F141" s="8"/>
      <c r="G141" s="7"/>
      <c r="H141" s="49"/>
      <c r="I141" s="2"/>
    </row>
    <row r="142" spans="2:9" x14ac:dyDescent="0.25">
      <c r="B142" s="169" t="s">
        <v>67</v>
      </c>
      <c r="C142" s="415">
        <f>INP_Assumptions!C43</f>
        <v>50000</v>
      </c>
      <c r="D142" s="874"/>
      <c r="E142" s="875"/>
      <c r="F142" s="875"/>
      <c r="G142" s="875"/>
      <c r="H142" s="876"/>
      <c r="I142" s="2"/>
    </row>
    <row r="143" spans="2:9" x14ac:dyDescent="0.25">
      <c r="E143" s="9"/>
      <c r="F143" s="5"/>
      <c r="G143" s="2"/>
      <c r="H143" s="49"/>
      <c r="I143" s="7"/>
    </row>
    <row r="144" spans="2:9" s="404" customFormat="1" x14ac:dyDescent="0.25">
      <c r="B144" s="423" t="s">
        <v>3</v>
      </c>
    </row>
    <row r="145" spans="1:9" x14ac:dyDescent="0.25">
      <c r="C145" s="8"/>
      <c r="E145" s="9"/>
      <c r="F145" s="8"/>
      <c r="G145" s="2"/>
      <c r="H145" s="49"/>
      <c r="I145" s="7"/>
    </row>
    <row r="146" spans="1:9" x14ac:dyDescent="0.25">
      <c r="C146" s="169" t="s">
        <v>226</v>
      </c>
      <c r="D146" s="169" t="s">
        <v>627</v>
      </c>
      <c r="E146" s="169" t="s">
        <v>686</v>
      </c>
      <c r="F146" s="169" t="s">
        <v>687</v>
      </c>
      <c r="G146" s="2"/>
      <c r="H146" s="49"/>
      <c r="I146" s="7"/>
    </row>
    <row r="147" spans="1:9" x14ac:dyDescent="0.25">
      <c r="B147" s="169" t="s">
        <v>60</v>
      </c>
      <c r="C147" s="474">
        <f>HLOOKUP($E$9,PRO_Fleet_Assumptions!$C$46:$F$48,2,FALSE)</f>
        <v>212</v>
      </c>
      <c r="D147" s="415">
        <f>PRO_Fleet_Assumptions!$C$44</f>
        <v>18000</v>
      </c>
      <c r="E147" s="433">
        <f>C147*D147</f>
        <v>3816000</v>
      </c>
      <c r="F147" s="433">
        <f>C147*PRO_Fleet_Assumptions!$C$61</f>
        <v>0</v>
      </c>
      <c r="G147" s="873"/>
      <c r="H147" s="873"/>
    </row>
    <row r="148" spans="1:9" x14ac:dyDescent="0.25">
      <c r="B148" s="169" t="s">
        <v>885</v>
      </c>
      <c r="C148" s="816">
        <f>ROUNDDOWN(E148/D147,0)</f>
        <v>166</v>
      </c>
      <c r="D148" s="727">
        <f>D147</f>
        <v>18000</v>
      </c>
      <c r="E148" s="814">
        <f>INP_Assumptions!$C$136</f>
        <v>3000000</v>
      </c>
      <c r="F148" s="433"/>
      <c r="G148" s="817"/>
      <c r="H148" s="811"/>
    </row>
    <row r="149" spans="1:9" x14ac:dyDescent="0.25">
      <c r="B149" s="169" t="s">
        <v>886</v>
      </c>
      <c r="C149" s="816">
        <f>MAX(C147-C148,0)</f>
        <v>46</v>
      </c>
      <c r="D149" s="727">
        <f>E149/C149</f>
        <v>17739.130434782608</v>
      </c>
      <c r="E149" s="814">
        <f>E147-E148</f>
        <v>816000</v>
      </c>
      <c r="F149" s="433"/>
      <c r="G149" s="818" t="s">
        <v>894</v>
      </c>
      <c r="H149" s="811"/>
    </row>
    <row r="150" spans="1:9" x14ac:dyDescent="0.25">
      <c r="B150" s="169" t="s">
        <v>62</v>
      </c>
      <c r="C150" s="474">
        <f>HLOOKUP($E$9,PRO_Fleet_Assumptions!$C$46:$F$48,3,FALSE)</f>
        <v>51</v>
      </c>
      <c r="D150" s="415">
        <f>PRO_Fleet_Assumptions!$C$44</f>
        <v>18000</v>
      </c>
      <c r="E150" s="433">
        <f>C150*D150</f>
        <v>918000</v>
      </c>
      <c r="F150" s="433">
        <f>C150*PRO_Fleet_Assumptions!$C$61</f>
        <v>0</v>
      </c>
      <c r="G150" s="873"/>
      <c r="H150" s="873"/>
    </row>
    <row r="151" spans="1:9" x14ac:dyDescent="0.25">
      <c r="A151" s="21"/>
      <c r="B151" s="169" t="s">
        <v>276</v>
      </c>
      <c r="C151" s="474">
        <f>PRO_Fleet_Assumptions!C51</f>
        <v>20</v>
      </c>
      <c r="D151" s="415">
        <f>PRO_Fleet_Assumptions!D51</f>
        <v>175900</v>
      </c>
      <c r="E151" s="433">
        <f>C151*D151</f>
        <v>3518000</v>
      </c>
      <c r="F151" s="433">
        <f>C151*PRO_Fleet_Assumptions!$C$61</f>
        <v>0</v>
      </c>
      <c r="G151" s="873"/>
      <c r="H151" s="873"/>
    </row>
    <row r="152" spans="1:9" x14ac:dyDescent="0.25">
      <c r="B152" s="169" t="s">
        <v>283</v>
      </c>
      <c r="C152" s="474">
        <f>PRO_Fleet_Assumptions!C52</f>
        <v>31</v>
      </c>
      <c r="D152" s="727">
        <f>PRO_Fleet_Assumptions!$D$52</f>
        <v>60000</v>
      </c>
      <c r="E152" s="433">
        <f>C152*D152</f>
        <v>1860000</v>
      </c>
      <c r="F152" s="433">
        <f>C152*PRO_Fleet_Assumptions!$C$62</f>
        <v>53475</v>
      </c>
      <c r="G152" s="873"/>
      <c r="H152" s="873"/>
    </row>
    <row r="153" spans="1:9" x14ac:dyDescent="0.25">
      <c r="G153" s="3"/>
    </row>
    <row r="154" spans="1:9" x14ac:dyDescent="0.25">
      <c r="B154" s="169" t="s">
        <v>332</v>
      </c>
      <c r="C154" s="466">
        <f>F147+F151+F152</f>
        <v>53475</v>
      </c>
      <c r="D154" s="874" t="s">
        <v>892</v>
      </c>
      <c r="E154" s="875"/>
      <c r="F154" s="875"/>
      <c r="G154" s="875"/>
      <c r="H154" s="876"/>
    </row>
    <row r="155" spans="1:9" x14ac:dyDescent="0.25">
      <c r="B155" s="169" t="s">
        <v>333</v>
      </c>
      <c r="C155" s="466">
        <f>F150</f>
        <v>0</v>
      </c>
      <c r="D155" s="874"/>
      <c r="E155" s="875"/>
      <c r="F155" s="875"/>
      <c r="G155" s="875"/>
      <c r="H155" s="876"/>
    </row>
    <row r="156" spans="1:9" x14ac:dyDescent="0.25">
      <c r="B156" s="56"/>
      <c r="C156" s="8"/>
      <c r="G156" s="3"/>
    </row>
    <row r="157" spans="1:9" x14ac:dyDescent="0.25">
      <c r="C157" s="169" t="s">
        <v>280</v>
      </c>
      <c r="D157" s="169" t="s">
        <v>281</v>
      </c>
      <c r="G157" s="3"/>
    </row>
    <row r="158" spans="1:9" x14ac:dyDescent="0.25">
      <c r="B158" s="169" t="s">
        <v>282</v>
      </c>
      <c r="C158" s="432">
        <f>PRO_Fleet_Assumptions!$C$56/PRO_Fleet_Assumptions!$D$52</f>
        <v>0.3</v>
      </c>
      <c r="D158" s="432">
        <f>1-C158</f>
        <v>0.7</v>
      </c>
      <c r="E158" s="873"/>
      <c r="F158" s="873"/>
      <c r="G158" s="873"/>
      <c r="H158" s="873"/>
    </row>
    <row r="159" spans="1:9" x14ac:dyDescent="0.25">
      <c r="B159" s="169" t="s">
        <v>287</v>
      </c>
      <c r="C159" s="191">
        <f>C152*PRO_Fleet_Assumptions!$C$57</f>
        <v>1302000</v>
      </c>
      <c r="D159" s="476"/>
      <c r="E159" s="873"/>
      <c r="F159" s="873"/>
      <c r="G159" s="873"/>
      <c r="H159" s="873"/>
    </row>
    <row r="160" spans="1:9" x14ac:dyDescent="0.25">
      <c r="B160" s="169" t="s">
        <v>296</v>
      </c>
      <c r="C160" s="191">
        <f>C159/2</f>
        <v>651000</v>
      </c>
      <c r="D160" s="476"/>
      <c r="E160" s="873"/>
      <c r="F160" s="873"/>
      <c r="G160" s="873"/>
      <c r="H160" s="873"/>
    </row>
    <row r="161" spans="1:9" x14ac:dyDescent="0.25">
      <c r="E161" s="56"/>
      <c r="F161" s="8"/>
      <c r="G161" s="3"/>
    </row>
    <row r="162" spans="1:9" x14ac:dyDescent="0.25">
      <c r="B162" s="169" t="s">
        <v>183</v>
      </c>
      <c r="C162" s="466">
        <f>PRO_Fleet_Assumptions!C59+PRO_Fleet_Assumptions!C60</f>
        <v>726000</v>
      </c>
      <c r="D162" s="874"/>
      <c r="E162" s="875"/>
      <c r="F162" s="875"/>
      <c r="G162" s="875"/>
      <c r="H162" s="876"/>
    </row>
    <row r="163" spans="1:9" x14ac:dyDescent="0.25">
      <c r="B163" s="1"/>
      <c r="C163" s="7"/>
    </row>
    <row r="164" spans="1:9" s="404" customFormat="1" x14ac:dyDescent="0.25">
      <c r="B164" s="423" t="s">
        <v>26</v>
      </c>
    </row>
    <row r="165" spans="1:9" x14ac:dyDescent="0.25">
      <c r="B165" s="1"/>
      <c r="C165" s="7"/>
    </row>
    <row r="166" spans="1:9" x14ac:dyDescent="0.25">
      <c r="B166" s="169" t="s">
        <v>68</v>
      </c>
      <c r="C166" s="415">
        <f>PRO_Fleet_Assumptions!C66</f>
        <v>4450</v>
      </c>
      <c r="D166" s="870"/>
      <c r="E166" s="871"/>
      <c r="F166" s="871"/>
      <c r="G166" s="871"/>
      <c r="H166" s="872"/>
    </row>
    <row r="167" spans="1:9" x14ac:dyDescent="0.25">
      <c r="B167" s="169" t="s">
        <v>86</v>
      </c>
      <c r="C167" s="474">
        <f>HLOOKUP($E$9,INP_T_Model_inputs!$C$9:$F$13,3,FALSE)</f>
        <v>8200</v>
      </c>
      <c r="D167" s="870"/>
      <c r="E167" s="871"/>
      <c r="F167" s="871"/>
      <c r="G167" s="871"/>
      <c r="H167" s="872"/>
    </row>
    <row r="168" spans="1:9" x14ac:dyDescent="0.25">
      <c r="B168" s="169" t="s">
        <v>128</v>
      </c>
      <c r="C168" s="433">
        <f>C166*C167</f>
        <v>36490000</v>
      </c>
      <c r="D168" s="870"/>
      <c r="E168" s="871"/>
      <c r="F168" s="871"/>
      <c r="G168" s="871"/>
      <c r="H168" s="872"/>
    </row>
    <row r="169" spans="1:9" x14ac:dyDescent="0.25">
      <c r="B169" s="169" t="s">
        <v>126</v>
      </c>
      <c r="C169" s="430">
        <f>HLOOKUP($E$9,INP_Cordon_Assumptions!$C$70:$F$80,9,FALSE)</f>
        <v>0.5</v>
      </c>
      <c r="D169" s="870"/>
      <c r="E169" s="871"/>
      <c r="F169" s="871"/>
      <c r="G169" s="871"/>
      <c r="H169" s="872"/>
    </row>
    <row r="170" spans="1:9" x14ac:dyDescent="0.25">
      <c r="B170" s="169" t="s">
        <v>129</v>
      </c>
      <c r="C170" s="191">
        <f>2*C168*C169</f>
        <v>36490000</v>
      </c>
      <c r="D170" s="870" t="s">
        <v>130</v>
      </c>
      <c r="E170" s="871"/>
      <c r="F170" s="871"/>
      <c r="G170" s="871"/>
      <c r="H170" s="872"/>
    </row>
    <row r="171" spans="1:9" x14ac:dyDescent="0.25">
      <c r="A171" s="21"/>
      <c r="B171" s="169" t="s">
        <v>296</v>
      </c>
      <c r="C171" s="191">
        <f>C170*INP_Assumptions!$C$16</f>
        <v>7298000</v>
      </c>
      <c r="D171" s="870"/>
      <c r="E171" s="871"/>
      <c r="F171" s="871"/>
      <c r="G171" s="871"/>
      <c r="H171" s="872"/>
    </row>
    <row r="173" spans="1:9" x14ac:dyDescent="0.25">
      <c r="B173" s="169" t="s">
        <v>202</v>
      </c>
      <c r="C173" s="415">
        <f>PRO_Fleet_Assumptions!C67</f>
        <v>4450</v>
      </c>
      <c r="D173" s="870"/>
      <c r="E173" s="871"/>
      <c r="F173" s="871"/>
      <c r="G173" s="871"/>
      <c r="H173" s="872"/>
    </row>
    <row r="174" spans="1:9" x14ac:dyDescent="0.25">
      <c r="B174" s="169" t="s">
        <v>688</v>
      </c>
      <c r="C174" s="433">
        <f>C173*C167</f>
        <v>36490000</v>
      </c>
      <c r="D174" s="870"/>
      <c r="E174" s="871"/>
      <c r="F174" s="871"/>
      <c r="G174" s="871"/>
      <c r="H174" s="872"/>
    </row>
    <row r="175" spans="1:9" x14ac:dyDescent="0.25">
      <c r="B175" s="169" t="s">
        <v>689</v>
      </c>
      <c r="C175" s="191">
        <f>C167*PRO_Fleet_Assumptions!$C$76</f>
        <v>0</v>
      </c>
      <c r="D175" s="870"/>
      <c r="E175" s="871"/>
      <c r="F175" s="871"/>
      <c r="G175" s="871"/>
      <c r="H175" s="872"/>
      <c r="I175" s="7"/>
    </row>
    <row r="176" spans="1:9" x14ac:dyDescent="0.25">
      <c r="B176" s="1"/>
      <c r="G176" s="2"/>
      <c r="H176" s="47"/>
      <c r="I176" s="7"/>
    </row>
    <row r="177" spans="2:9" x14ac:dyDescent="0.25">
      <c r="B177" s="1"/>
      <c r="C177" s="204">
        <v>2021</v>
      </c>
      <c r="D177" s="204">
        <v>2022</v>
      </c>
      <c r="E177" s="204">
        <v>2023</v>
      </c>
      <c r="F177" s="204">
        <v>2024</v>
      </c>
      <c r="G177" s="1"/>
      <c r="H177" s="47"/>
      <c r="I177" s="7"/>
    </row>
    <row r="178" spans="2:9" x14ac:dyDescent="0.25">
      <c r="B178" s="169" t="s">
        <v>248</v>
      </c>
      <c r="C178" s="415">
        <f>HLOOKUP($E$9,INP_T_Model_inputs!$D$26:$G$31,4,FALSE)</f>
        <v>11100</v>
      </c>
      <c r="D178" s="41"/>
      <c r="E178" s="41"/>
      <c r="F178" s="415">
        <f>HLOOKUP($E$9,INP_T_Model_inputs!$D$36:$G$41,4,FALSE)</f>
        <v>7480</v>
      </c>
      <c r="G178" s="869"/>
      <c r="H178" s="869"/>
      <c r="I178" s="7"/>
    </row>
    <row r="179" spans="2:9" x14ac:dyDescent="0.25">
      <c r="B179" s="169" t="s">
        <v>249</v>
      </c>
      <c r="C179" s="41">
        <f>C178*365</f>
        <v>4051500</v>
      </c>
      <c r="D179" s="41">
        <f>(2*C179+F179)/3</f>
        <v>3611066.6666666665</v>
      </c>
      <c r="E179" s="41">
        <f>(C179+2*F179)/3</f>
        <v>3170633.3333333335</v>
      </c>
      <c r="F179" s="41">
        <f>F178*365</f>
        <v>2730200</v>
      </c>
      <c r="G179" s="869"/>
      <c r="H179" s="869"/>
      <c r="I179" s="7"/>
    </row>
    <row r="180" spans="2:9" x14ac:dyDescent="0.25">
      <c r="F180" s="3"/>
      <c r="G180" s="2"/>
      <c r="H180" s="47"/>
      <c r="I180" s="7"/>
    </row>
    <row r="181" spans="2:9" x14ac:dyDescent="0.25">
      <c r="B181" s="169" t="s">
        <v>690</v>
      </c>
      <c r="C181" s="415">
        <f>HLOOKUP($E$9,INP_Assumptions!$C$36:$F$40,5,FALSE)</f>
        <v>1000</v>
      </c>
      <c r="D181" s="870"/>
      <c r="E181" s="871"/>
      <c r="F181" s="871"/>
      <c r="G181" s="871"/>
      <c r="H181" s="872"/>
      <c r="I181" s="7"/>
    </row>
    <row r="182" spans="2:9" x14ac:dyDescent="0.25">
      <c r="B182" s="169" t="s">
        <v>337</v>
      </c>
      <c r="C182" s="430">
        <f>HLOOKUP($E$9,INP_Assumptions!$C$36:$F$41,6,FALSE)</f>
        <v>0.25</v>
      </c>
      <c r="D182" s="870"/>
      <c r="E182" s="871"/>
      <c r="F182" s="871"/>
      <c r="G182" s="871"/>
      <c r="H182" s="872"/>
      <c r="I182" s="7"/>
    </row>
    <row r="183" spans="2:9" x14ac:dyDescent="0.25">
      <c r="B183" s="169" t="s">
        <v>178</v>
      </c>
      <c r="C183" s="191">
        <f>C182*C167*C181</f>
        <v>2050000</v>
      </c>
      <c r="D183" s="870"/>
      <c r="E183" s="871"/>
      <c r="F183" s="871"/>
      <c r="G183" s="871"/>
      <c r="H183" s="872"/>
      <c r="I183" s="7"/>
    </row>
    <row r="184" spans="2:9" x14ac:dyDescent="0.25">
      <c r="C184" s="7"/>
      <c r="D184" s="31"/>
      <c r="E184" s="7"/>
      <c r="G184" s="2"/>
      <c r="H184" s="47"/>
      <c r="I184" s="7"/>
    </row>
    <row r="185" spans="2:9" x14ac:dyDescent="0.25">
      <c r="B185" s="1" t="s">
        <v>195</v>
      </c>
    </row>
    <row r="186" spans="2:9" x14ac:dyDescent="0.25">
      <c r="B186" s="1"/>
    </row>
    <row r="187" spans="2:9" s="404" customFormat="1" x14ac:dyDescent="0.25">
      <c r="B187" s="423" t="s">
        <v>27</v>
      </c>
    </row>
    <row r="188" spans="2:9" s="405" customFormat="1" x14ac:dyDescent="0.25">
      <c r="B188" s="468"/>
    </row>
    <row r="189" spans="2:9" s="405" customFormat="1" x14ac:dyDescent="0.25">
      <c r="B189" s="472" t="s">
        <v>0</v>
      </c>
      <c r="C189" s="169" t="s">
        <v>219</v>
      </c>
      <c r="D189" s="169" t="s">
        <v>220</v>
      </c>
      <c r="E189" s="470"/>
      <c r="F189" s="470"/>
      <c r="G189" s="470"/>
      <c r="H189" s="470"/>
    </row>
    <row r="190" spans="2:9" s="405" customFormat="1" x14ac:dyDescent="0.25">
      <c r="B190" s="169" t="s">
        <v>218</v>
      </c>
      <c r="C190" s="474">
        <f>HLOOKUP($E$9,INP_T_Model_inputs!$C$9:$F$13,4,FALSE)</f>
        <v>1900</v>
      </c>
      <c r="D190" s="474">
        <f>HLOOKUP($E$9,INP_T_Model_inputs!$C$9:$F$13,5,FALSE)</f>
        <v>1000</v>
      </c>
      <c r="E190" s="869"/>
      <c r="F190" s="869"/>
      <c r="G190" s="869"/>
      <c r="H190" s="869"/>
    </row>
    <row r="191" spans="2:9" s="405" customFormat="1" x14ac:dyDescent="0.25">
      <c r="B191" s="169" t="s">
        <v>217</v>
      </c>
      <c r="C191" s="415">
        <f>PRO_Fleet_Assumptions!C80</f>
        <v>14000</v>
      </c>
      <c r="D191" s="415">
        <f>PRO_Fleet_Assumptions!C81</f>
        <v>17400</v>
      </c>
      <c r="E191" s="869" t="s">
        <v>87</v>
      </c>
      <c r="F191" s="869"/>
      <c r="G191" s="869"/>
      <c r="H191" s="869"/>
    </row>
    <row r="192" spans="2:9" s="405" customFormat="1" x14ac:dyDescent="0.25">
      <c r="B192" s="169" t="s">
        <v>216</v>
      </c>
      <c r="C192" s="430">
        <f>PRO_Fleet_Assumptions!$C$82</f>
        <v>1</v>
      </c>
      <c r="D192" s="430">
        <f>PRO_Fleet_Assumptions!$C$82</f>
        <v>1</v>
      </c>
      <c r="E192" s="869"/>
      <c r="F192" s="869"/>
      <c r="G192" s="869"/>
      <c r="H192" s="869"/>
    </row>
    <row r="193" spans="2:10" s="405" customFormat="1" x14ac:dyDescent="0.25">
      <c r="B193" s="169" t="s">
        <v>691</v>
      </c>
      <c r="C193" s="41">
        <f>(C190*C191)</f>
        <v>26600000</v>
      </c>
      <c r="D193" s="41">
        <f>(D190*C192*D191)</f>
        <v>17400000</v>
      </c>
      <c r="E193" s="869"/>
      <c r="F193" s="869"/>
      <c r="G193" s="869"/>
      <c r="H193" s="869"/>
    </row>
    <row r="194" spans="2:10" s="405" customFormat="1" x14ac:dyDescent="0.25">
      <c r="B194" s="169" t="s">
        <v>126</v>
      </c>
      <c r="C194" s="430">
        <f>HLOOKUP($E$9,INP_Cordon_Assumptions!$C$70:$F$80,10,FALSE)</f>
        <v>0.2</v>
      </c>
      <c r="D194" s="430">
        <f>HLOOKUP($E$9,INP_Cordon_Assumptions!$C$70:$F$80,11,FALSE)</f>
        <v>0.1</v>
      </c>
      <c r="E194" s="869"/>
      <c r="F194" s="869"/>
      <c r="G194" s="869"/>
      <c r="H194" s="869"/>
    </row>
    <row r="195" spans="2:10" s="405" customFormat="1" x14ac:dyDescent="0.25">
      <c r="B195" s="169" t="s">
        <v>129</v>
      </c>
      <c r="C195" s="433">
        <f>2*C193*C194</f>
        <v>10640000</v>
      </c>
      <c r="D195" s="433">
        <f>2*D193*D194</f>
        <v>3480000</v>
      </c>
      <c r="E195" s="869" t="s">
        <v>130</v>
      </c>
      <c r="F195" s="869"/>
      <c r="G195" s="869"/>
      <c r="H195" s="869"/>
    </row>
    <row r="196" spans="2:10" s="405" customFormat="1" x14ac:dyDescent="0.25">
      <c r="B196" s="469"/>
      <c r="C196" s="470"/>
      <c r="D196" s="470"/>
      <c r="E196" s="470"/>
      <c r="F196" s="470"/>
      <c r="H196" s="470"/>
    </row>
    <row r="197" spans="2:10" s="405" customFormat="1" x14ac:dyDescent="0.25">
      <c r="B197" s="169" t="s">
        <v>692</v>
      </c>
      <c r="C197" s="191">
        <f>C193+D193</f>
        <v>44000000</v>
      </c>
      <c r="D197" s="870"/>
      <c r="E197" s="871"/>
      <c r="F197" s="871"/>
      <c r="G197" s="871"/>
      <c r="H197" s="872"/>
    </row>
    <row r="198" spans="2:10" x14ac:dyDescent="0.25">
      <c r="B198" s="169" t="s">
        <v>693</v>
      </c>
      <c r="C198" s="191">
        <f>SUM($C$195:$D$195)</f>
        <v>14120000</v>
      </c>
      <c r="D198" s="870"/>
      <c r="E198" s="871"/>
      <c r="F198" s="871"/>
      <c r="G198" s="871"/>
      <c r="H198" s="872"/>
      <c r="J198" s="4"/>
    </row>
    <row r="199" spans="2:10" x14ac:dyDescent="0.25">
      <c r="B199" s="169" t="s">
        <v>296</v>
      </c>
      <c r="C199" s="191">
        <f>C198*INP_Assumptions!$C$16</f>
        <v>2824000</v>
      </c>
      <c r="D199" s="870"/>
      <c r="E199" s="871"/>
      <c r="F199" s="871"/>
      <c r="G199" s="871"/>
      <c r="H199" s="872"/>
    </row>
    <row r="200" spans="2:10" x14ac:dyDescent="0.25">
      <c r="B200" s="169" t="s">
        <v>695</v>
      </c>
      <c r="C200" s="191">
        <f>C190*PRO_Fleet_Assumptions!$C$85+CALC_Current_option!D190*PRO_Fleet_Assumptions!$C$86</f>
        <v>0</v>
      </c>
      <c r="D200" s="870"/>
      <c r="E200" s="871"/>
      <c r="F200" s="871"/>
      <c r="G200" s="871"/>
      <c r="H200" s="872"/>
    </row>
    <row r="201" spans="2:10" x14ac:dyDescent="0.25">
      <c r="B201" s="1"/>
      <c r="C201" s="2"/>
      <c r="E201" s="424"/>
    </row>
    <row r="202" spans="2:10" x14ac:dyDescent="0.25">
      <c r="B202" s="471"/>
      <c r="C202" s="424"/>
      <c r="D202" s="424"/>
      <c r="E202" s="424"/>
    </row>
    <row r="203" spans="2:10" x14ac:dyDescent="0.25">
      <c r="B203" s="472" t="s">
        <v>694</v>
      </c>
      <c r="C203" s="169" t="s">
        <v>219</v>
      </c>
      <c r="D203" s="169" t="s">
        <v>220</v>
      </c>
      <c r="E203" s="424"/>
    </row>
    <row r="204" spans="2:10" x14ac:dyDescent="0.25">
      <c r="B204" s="169" t="s">
        <v>218</v>
      </c>
      <c r="C204" s="474">
        <f>C190</f>
        <v>1900</v>
      </c>
      <c r="D204" s="474">
        <f>D190</f>
        <v>1000</v>
      </c>
      <c r="E204" s="869"/>
      <c r="F204" s="869"/>
      <c r="G204" s="869"/>
      <c r="H204" s="869"/>
    </row>
    <row r="205" spans="2:10" x14ac:dyDescent="0.25">
      <c r="B205" s="169" t="s">
        <v>217</v>
      </c>
      <c r="C205" s="415">
        <f>PRO_Fleet_Assumptions!C83</f>
        <v>14000</v>
      </c>
      <c r="D205" s="415">
        <f>PRO_Fleet_Assumptions!C84</f>
        <v>17400</v>
      </c>
      <c r="E205" s="869"/>
      <c r="F205" s="869"/>
      <c r="G205" s="869"/>
      <c r="H205" s="869"/>
    </row>
    <row r="206" spans="2:10" x14ac:dyDescent="0.25">
      <c r="B206" s="169" t="s">
        <v>216</v>
      </c>
      <c r="C206" s="430">
        <f>C192</f>
        <v>1</v>
      </c>
      <c r="D206" s="430">
        <f>D192</f>
        <v>1</v>
      </c>
      <c r="E206" s="869"/>
      <c r="F206" s="869"/>
      <c r="G206" s="869"/>
      <c r="H206" s="869"/>
    </row>
    <row r="207" spans="2:10" x14ac:dyDescent="0.25">
      <c r="B207" s="169" t="s">
        <v>691</v>
      </c>
      <c r="C207" s="433">
        <f>(C204*C205)</f>
        <v>26600000</v>
      </c>
      <c r="D207" s="433">
        <f>(D204*C206*D205)</f>
        <v>17400000</v>
      </c>
      <c r="E207" s="869"/>
      <c r="F207" s="869"/>
      <c r="G207" s="869"/>
      <c r="H207" s="869"/>
    </row>
    <row r="208" spans="2:10" x14ac:dyDescent="0.25">
      <c r="B208" s="169" t="s">
        <v>35</v>
      </c>
      <c r="C208" s="428">
        <f>SUM($C$207:$D$207)</f>
        <v>44000000</v>
      </c>
      <c r="D208" s="433"/>
      <c r="E208" s="869"/>
      <c r="F208" s="869"/>
      <c r="G208" s="869"/>
      <c r="H208" s="869"/>
    </row>
    <row r="210" spans="2:10" x14ac:dyDescent="0.25">
      <c r="B210" s="1"/>
      <c r="C210" s="169">
        <v>2021</v>
      </c>
      <c r="D210" s="169">
        <v>2022</v>
      </c>
      <c r="E210" s="169">
        <v>2023</v>
      </c>
      <c r="F210" s="169">
        <v>2024</v>
      </c>
      <c r="H210" s="9"/>
      <c r="I210" s="57"/>
      <c r="J210" s="23"/>
    </row>
    <row r="211" spans="2:10" x14ac:dyDescent="0.25">
      <c r="B211" s="169" t="s">
        <v>251</v>
      </c>
      <c r="C211" s="191">
        <f>HLOOKUP($E$9,INP_T_Model_inputs!$D$26:$G$31,5,FALSE)+HLOOKUP($E$9,INP_T_Model_inputs!$D$26:$G$31,6,FALSE)</f>
        <v>2450</v>
      </c>
      <c r="D211" s="433"/>
      <c r="E211" s="433"/>
      <c r="F211" s="191">
        <f>HLOOKUP($E$9,INP_T_Model_inputs!$D$36:$G$41,5,FALSE)+HLOOKUP($E$9,INP_T_Model_inputs!$D$36:$G$41,6,FALSE)</f>
        <v>1950</v>
      </c>
      <c r="G211" s="869"/>
      <c r="H211" s="869"/>
      <c r="I211" s="57"/>
      <c r="J211" s="23"/>
    </row>
    <row r="212" spans="2:10" x14ac:dyDescent="0.25">
      <c r="B212" s="169" t="s">
        <v>252</v>
      </c>
      <c r="C212" s="433">
        <f>C211*365</f>
        <v>894250</v>
      </c>
      <c r="D212" s="433">
        <f>(2*C212+F212)/3</f>
        <v>833416.66666666663</v>
      </c>
      <c r="E212" s="433">
        <f>(C212+2*F212)/3</f>
        <v>772583.33333333337</v>
      </c>
      <c r="F212" s="433">
        <f>F211*365</f>
        <v>711750</v>
      </c>
      <c r="G212" s="869"/>
      <c r="H212" s="869"/>
    </row>
    <row r="213" spans="2:10" x14ac:dyDescent="0.25">
      <c r="G213" s="4"/>
    </row>
    <row r="214" spans="2:10" x14ac:dyDescent="0.25">
      <c r="B214" s="1"/>
      <c r="C214" s="2"/>
      <c r="G214" s="4"/>
    </row>
    <row r="215" spans="2:10" s="404" customFormat="1" x14ac:dyDescent="0.25">
      <c r="B215" s="423" t="s">
        <v>28</v>
      </c>
    </row>
    <row r="216" spans="2:10" x14ac:dyDescent="0.25">
      <c r="G216" s="4"/>
    </row>
    <row r="217" spans="2:10" x14ac:dyDescent="0.25">
      <c r="B217" s="1"/>
      <c r="C217" s="169" t="s">
        <v>622</v>
      </c>
      <c r="D217" s="169" t="s">
        <v>476</v>
      </c>
      <c r="G217" s="4"/>
    </row>
    <row r="218" spans="2:10" x14ac:dyDescent="0.25">
      <c r="B218" s="243" t="str">
        <f>INP_Assumptions!B47</f>
        <v>Signal timings SCC EMF</v>
      </c>
      <c r="C218" s="415">
        <f>INP_Assumptions!C47</f>
        <v>159000</v>
      </c>
      <c r="D218" s="433">
        <f>C218*INP_Assumptions!$C$16</f>
        <v>31800</v>
      </c>
      <c r="E218" s="869"/>
      <c r="F218" s="869"/>
      <c r="G218" s="869"/>
      <c r="H218" s="869"/>
    </row>
    <row r="219" spans="2:10" x14ac:dyDescent="0.25">
      <c r="B219" s="243" t="s">
        <v>9</v>
      </c>
      <c r="C219" s="415">
        <f>INP_Assumptions!C48</f>
        <v>0</v>
      </c>
      <c r="D219" s="433">
        <f>C219*INP_Assumptions!$C$16</f>
        <v>0</v>
      </c>
      <c r="E219" s="869"/>
      <c r="F219" s="869"/>
      <c r="G219" s="869"/>
      <c r="H219" s="869"/>
    </row>
    <row r="220" spans="2:10" x14ac:dyDescent="0.25">
      <c r="B220" s="243" t="s">
        <v>10</v>
      </c>
      <c r="C220" s="415">
        <f>INP_Assumptions!C49</f>
        <v>100000</v>
      </c>
      <c r="D220" s="433">
        <f>C220*INP_Assumptions!$C$16</f>
        <v>20000</v>
      </c>
      <c r="E220" s="869"/>
      <c r="F220" s="869"/>
      <c r="G220" s="869"/>
      <c r="H220" s="869"/>
    </row>
    <row r="221" spans="2:10" x14ac:dyDescent="0.25">
      <c r="B221" s="243" t="s">
        <v>11</v>
      </c>
      <c r="C221" s="415">
        <f>INP_Assumptions!C50</f>
        <v>80000</v>
      </c>
      <c r="D221" s="415">
        <f>INP_Assumptions!C52</f>
        <v>35200</v>
      </c>
      <c r="E221" s="869"/>
      <c r="F221" s="869"/>
      <c r="G221" s="869"/>
      <c r="H221" s="869"/>
    </row>
    <row r="222" spans="2:10" ht="30" x14ac:dyDescent="0.25">
      <c r="B222" s="243" t="s">
        <v>25</v>
      </c>
      <c r="C222" s="415">
        <f>INP_Assumptions!C53</f>
        <v>710000</v>
      </c>
      <c r="D222" s="415">
        <f>INP_Assumptions!C55</f>
        <v>312400</v>
      </c>
      <c r="E222" s="869"/>
      <c r="F222" s="869"/>
      <c r="G222" s="869"/>
      <c r="H222" s="869"/>
    </row>
    <row r="223" spans="2:10" x14ac:dyDescent="0.25">
      <c r="B223" s="243" t="s">
        <v>12</v>
      </c>
      <c r="C223" s="415">
        <f>INP_Assumptions!C56</f>
        <v>120000</v>
      </c>
      <c r="D223" s="415">
        <f>INP_Assumptions!C58</f>
        <v>52800</v>
      </c>
      <c r="E223" s="869"/>
      <c r="F223" s="869"/>
      <c r="G223" s="869"/>
      <c r="H223" s="869"/>
    </row>
    <row r="224" spans="2:10" x14ac:dyDescent="0.25">
      <c r="B224" s="243" t="s">
        <v>92</v>
      </c>
      <c r="C224" s="425">
        <f>HLOOKUP($E$9,INP_Cordon_Assumptions!$C$65:$F$66,2,FALSE)</f>
        <v>0</v>
      </c>
      <c r="D224" s="433"/>
      <c r="E224" s="869"/>
      <c r="F224" s="869"/>
      <c r="G224" s="869"/>
      <c r="H224" s="869"/>
    </row>
    <row r="225" spans="2:8" x14ac:dyDescent="0.25">
      <c r="B225" s="243" t="s">
        <v>34</v>
      </c>
      <c r="C225" s="191">
        <f>C224*INP_Assumptions!C60</f>
        <v>0</v>
      </c>
      <c r="D225" s="433">
        <f>C224*INP_Assumptions!C62</f>
        <v>0</v>
      </c>
      <c r="E225" s="869"/>
      <c r="F225" s="869"/>
      <c r="G225" s="869"/>
      <c r="H225" s="869"/>
    </row>
    <row r="226" spans="2:8" x14ac:dyDescent="0.25">
      <c r="C226"/>
      <c r="D226"/>
      <c r="E226"/>
    </row>
    <row r="227" spans="2:8" x14ac:dyDescent="0.25">
      <c r="B227" s="243" t="s">
        <v>480</v>
      </c>
      <c r="C227" s="433">
        <f>D218+(0.5*D219)+D220</f>
        <v>51800</v>
      </c>
      <c r="D227" s="874"/>
      <c r="E227" s="875"/>
      <c r="F227" s="875"/>
      <c r="G227" s="875"/>
      <c r="H227" s="876"/>
    </row>
    <row r="228" spans="2:8" x14ac:dyDescent="0.25">
      <c r="B228" s="243" t="s">
        <v>481</v>
      </c>
      <c r="C228" s="433">
        <f>(0.5*D219)+D221+D222+D223+D225</f>
        <v>400400</v>
      </c>
      <c r="D228" s="874"/>
      <c r="E228" s="875"/>
      <c r="F228" s="875"/>
      <c r="G228" s="875"/>
      <c r="H228" s="876"/>
    </row>
    <row r="230" spans="2:8" s="404" customFormat="1" x14ac:dyDescent="0.25">
      <c r="B230" s="423" t="s">
        <v>118</v>
      </c>
    </row>
    <row r="232" spans="2:8" x14ac:dyDescent="0.25">
      <c r="B232" s="243" t="str">
        <f>INP_Assumptions!B66</f>
        <v>Public EV Charging Infrastucture - SCC EMF</v>
      </c>
      <c r="C232" s="415">
        <f>INP_Assumptions!C66</f>
        <v>515000</v>
      </c>
      <c r="D232" s="874"/>
      <c r="E232" s="875"/>
      <c r="F232" s="875"/>
      <c r="G232" s="875"/>
      <c r="H232" s="876"/>
    </row>
    <row r="233" spans="2:8" x14ac:dyDescent="0.25">
      <c r="B233" s="243" t="str">
        <f>INP_Assumptions!B67</f>
        <v>Public EV Charging Infrastucture - SCC EMF</v>
      </c>
      <c r="C233" s="415">
        <f>INP_Assumptions!C67</f>
        <v>645000</v>
      </c>
      <c r="D233" s="874"/>
      <c r="E233" s="875"/>
      <c r="F233" s="875"/>
      <c r="G233" s="875"/>
      <c r="H233" s="876"/>
    </row>
    <row r="234" spans="2:8" ht="30" x14ac:dyDescent="0.25">
      <c r="B234" s="243" t="str">
        <f>INP_Cordon_Assumptions!B49</f>
        <v>Electric Taxi Charging Infrastructure in SCC (OLEV Funded 2019)</v>
      </c>
      <c r="C234" s="415">
        <f>HLOOKUP($E$9,INP_Cordon_Assumptions!$C$48:$F$54,2,FALSE)</f>
        <v>650000</v>
      </c>
      <c r="D234" s="874"/>
      <c r="E234" s="875"/>
      <c r="F234" s="875"/>
      <c r="G234" s="875"/>
      <c r="H234" s="876"/>
    </row>
    <row r="235" spans="2:8" x14ac:dyDescent="0.25">
      <c r="B235" s="243" t="str">
        <f>INP_Cordon_Assumptions!B50</f>
        <v>Follow-up charging charging infrastructure for taxis</v>
      </c>
      <c r="C235" s="191">
        <f>HLOOKUP($E$9,INP_Cordon_Assumptions!$C$48:$F$54,3,FALSE)*C241</f>
        <v>1300000</v>
      </c>
      <c r="D235" s="874"/>
      <c r="E235" s="875"/>
      <c r="F235" s="875"/>
      <c r="G235" s="875"/>
      <c r="H235" s="876"/>
    </row>
    <row r="236" spans="2:8" x14ac:dyDescent="0.25">
      <c r="B236" s="243" t="str">
        <f>INP_Cordon_Assumptions!B51</f>
        <v>Public EV Charging Infrastucture - SCC New</v>
      </c>
      <c r="C236" s="191">
        <f>HLOOKUP($E$9,INP_Cordon_Assumptions!$C$48:$F$54,4,FALSE)*C242</f>
        <v>300000</v>
      </c>
      <c r="D236" s="874"/>
      <c r="E236" s="875"/>
      <c r="F236" s="875"/>
      <c r="G236" s="875"/>
      <c r="H236" s="876"/>
    </row>
    <row r="237" spans="2:8" x14ac:dyDescent="0.25">
      <c r="B237" s="243" t="str">
        <f>INP_Cordon_Assumptions!B52</f>
        <v>Public EV Charging Infrastucture - RMBC New</v>
      </c>
      <c r="C237" s="191">
        <f>HLOOKUP($E$9,INP_Cordon_Assumptions!$C$48:$F$54,5,FALSE)*C243</f>
        <v>200000</v>
      </c>
      <c r="D237" s="874"/>
      <c r="E237" s="875"/>
      <c r="F237" s="875"/>
      <c r="G237" s="875"/>
      <c r="H237" s="876"/>
    </row>
    <row r="238" spans="2:8" x14ac:dyDescent="0.25">
      <c r="B238" s="243" t="str">
        <f>INP_Cordon_Assumptions!B53</f>
        <v>ULEV Infrastructure for LGVs</v>
      </c>
      <c r="C238" s="191">
        <f>HLOOKUP($E$9,INP_Cordon_Assumptions!$C$48:$F$54,6,FALSE)*C244</f>
        <v>100000</v>
      </c>
      <c r="D238" s="874"/>
      <c r="E238" s="875"/>
      <c r="F238" s="875"/>
      <c r="G238" s="875"/>
      <c r="H238" s="876"/>
    </row>
    <row r="239" spans="2:8" ht="30" x14ac:dyDescent="0.25">
      <c r="B239" s="243" t="str">
        <f>INP_Cordon_Assumptions!B54</f>
        <v>Heavy Goods Vehicle Charging Infrastructure (not included here?)</v>
      </c>
      <c r="C239" s="191">
        <f>HLOOKUP($E$9,INP_Cordon_Assumptions!$C$48:$F$54,7,FALSE)*C245</f>
        <v>0</v>
      </c>
      <c r="D239" s="874"/>
      <c r="E239" s="875"/>
      <c r="F239" s="875"/>
      <c r="G239" s="875"/>
      <c r="H239" s="876"/>
    </row>
    <row r="240" spans="2:8" x14ac:dyDescent="0.25">
      <c r="B240" s="1"/>
      <c r="C240" s="7"/>
      <c r="D240" s="2"/>
    </row>
    <row r="241" spans="1:8" x14ac:dyDescent="0.25">
      <c r="B241" s="243" t="s">
        <v>363</v>
      </c>
      <c r="C241" s="425">
        <f>HLOOKUP($E$9,INP_Cordon_Assumptions!$C$57:$F$62,2,FALSE)</f>
        <v>1</v>
      </c>
      <c r="D241" s="873"/>
      <c r="E241" s="873"/>
      <c r="F241" s="873"/>
      <c r="G241" s="873"/>
      <c r="H241" s="873"/>
    </row>
    <row r="242" spans="1:8" x14ac:dyDescent="0.25">
      <c r="B242" s="243" t="s">
        <v>161</v>
      </c>
      <c r="C242" s="425">
        <f>HLOOKUP($E$9,INP_Cordon_Assumptions!$C$57:$F$62,3,FALSE)</f>
        <v>1</v>
      </c>
      <c r="D242" s="873"/>
      <c r="E242" s="873"/>
      <c r="F242" s="873"/>
      <c r="G242" s="873"/>
      <c r="H242" s="873"/>
    </row>
    <row r="243" spans="1:8" x14ac:dyDescent="0.25">
      <c r="B243" s="243" t="s">
        <v>162</v>
      </c>
      <c r="C243" s="425">
        <f>HLOOKUP($E$9,INP_Cordon_Assumptions!$C$57:$F$62,4,FALSE)</f>
        <v>1</v>
      </c>
      <c r="D243" s="873"/>
      <c r="E243" s="873"/>
      <c r="F243" s="873"/>
      <c r="G243" s="873"/>
      <c r="H243" s="873"/>
    </row>
    <row r="244" spans="1:8" x14ac:dyDescent="0.25">
      <c r="B244" s="243" t="s">
        <v>364</v>
      </c>
      <c r="C244" s="425">
        <f>HLOOKUP($E$9,INP_Cordon_Assumptions!$C$57:$F$62,5,FALSE)</f>
        <v>1</v>
      </c>
      <c r="D244" s="873"/>
      <c r="E244" s="873"/>
      <c r="F244" s="873"/>
      <c r="G244" s="873"/>
      <c r="H244" s="873"/>
    </row>
    <row r="245" spans="1:8" x14ac:dyDescent="0.25">
      <c r="B245" s="243" t="s">
        <v>163</v>
      </c>
      <c r="C245" s="425">
        <f>HLOOKUP($E$9,INP_Cordon_Assumptions!$C$57:$F$62,6,FALSE)</f>
        <v>0</v>
      </c>
      <c r="D245" s="873"/>
      <c r="E245" s="873"/>
      <c r="F245" s="873"/>
      <c r="G245" s="873"/>
      <c r="H245" s="873"/>
    </row>
    <row r="246" spans="1:8" x14ac:dyDescent="0.25">
      <c r="B246" s="1"/>
    </row>
    <row r="247" spans="1:8" s="404" customFormat="1" x14ac:dyDescent="0.25">
      <c r="B247" s="423" t="s">
        <v>13</v>
      </c>
    </row>
    <row r="249" spans="1:8" x14ac:dyDescent="0.25">
      <c r="A249" s="21"/>
      <c r="B249" s="243" t="s">
        <v>14</v>
      </c>
      <c r="C249" s="415">
        <f>HLOOKUP(E9,INP_Assumptions!$C$71:$F$72,2,FALSE)</f>
        <v>200000</v>
      </c>
      <c r="D249" s="874"/>
      <c r="E249" s="875"/>
      <c r="F249" s="875"/>
      <c r="G249" s="875"/>
      <c r="H249" s="876"/>
    </row>
    <row r="250" spans="1:8" x14ac:dyDescent="0.25">
      <c r="A250" s="21"/>
      <c r="D250" s="6"/>
    </row>
    <row r="251" spans="1:8" s="404" customFormat="1" x14ac:dyDescent="0.25">
      <c r="B251" s="423" t="s">
        <v>696</v>
      </c>
    </row>
    <row r="252" spans="1:8" x14ac:dyDescent="0.25">
      <c r="D252" s="6"/>
    </row>
    <row r="253" spans="1:8" x14ac:dyDescent="0.25">
      <c r="B253" s="243" t="str">
        <f>INP_Assumptions!B76</f>
        <v>SCC Hearts &amp; Minds Comms - EMF  - SCC</v>
      </c>
      <c r="C253" s="415">
        <f>INP_Assumptions!C76</f>
        <v>40000</v>
      </c>
      <c r="D253" s="870"/>
      <c r="E253" s="871"/>
      <c r="F253" s="871"/>
      <c r="G253" s="871"/>
      <c r="H253" s="872"/>
    </row>
    <row r="254" spans="1:8" x14ac:dyDescent="0.25">
      <c r="B254" s="243" t="str">
        <f>INP_Assumptions!B77</f>
        <v>SCC Hearts &amp; Minds Comms - EMF - RMBC</v>
      </c>
      <c r="C254" s="415">
        <f>INP_Assumptions!C77</f>
        <v>40000</v>
      </c>
      <c r="D254" s="870"/>
      <c r="E254" s="871"/>
      <c r="F254" s="871"/>
      <c r="G254" s="871"/>
      <c r="H254" s="872"/>
    </row>
    <row r="255" spans="1:8" x14ac:dyDescent="0.25">
      <c r="B255" s="1"/>
      <c r="D255" s="464"/>
      <c r="E255" s="464"/>
      <c r="F255" s="473"/>
      <c r="G255" s="473"/>
      <c r="H255" s="473"/>
    </row>
    <row r="256" spans="1:8" x14ac:dyDescent="0.25">
      <c r="A256" s="21"/>
      <c r="B256" s="243" t="str">
        <f>INP_Assumptions!B80</f>
        <v>H&amp;M Campaigns - 2019  - SCC residents</v>
      </c>
      <c r="C256" s="415">
        <f>HLOOKUP($E$9,INP_Assumptions!$C$79:$F$92,2,FALSE)</f>
        <v>264000</v>
      </c>
      <c r="D256" s="870"/>
      <c r="E256" s="871"/>
      <c r="F256" s="871"/>
      <c r="G256" s="871"/>
      <c r="H256" s="872"/>
    </row>
    <row r="257" spans="1:8" x14ac:dyDescent="0.25">
      <c r="B257" s="243" t="str">
        <f>INP_Assumptions!B81</f>
        <v>H&amp;M Campaigns - 2019  - RMBC residents</v>
      </c>
      <c r="C257" s="415">
        <f>HLOOKUP($E$9,INP_Assumptions!$C$79:$F$92,3,FALSE)</f>
        <v>0</v>
      </c>
      <c r="D257" s="870"/>
      <c r="E257" s="871"/>
      <c r="F257" s="871"/>
      <c r="G257" s="871"/>
      <c r="H257" s="872"/>
    </row>
    <row r="258" spans="1:8" x14ac:dyDescent="0.25">
      <c r="A258" s="21"/>
      <c r="B258" s="243" t="str">
        <f>INP_Assumptions!B82</f>
        <v>H&amp;M Campaigns - 2020  - SCC residents</v>
      </c>
      <c r="C258" s="415">
        <f>HLOOKUP($E$9,INP_Assumptions!$C$79:$F$92,4,FALSE)</f>
        <v>528000</v>
      </c>
      <c r="D258" s="870"/>
      <c r="E258" s="871"/>
      <c r="F258" s="871"/>
      <c r="G258" s="871"/>
      <c r="H258" s="872"/>
    </row>
    <row r="259" spans="1:8" x14ac:dyDescent="0.25">
      <c r="B259" s="243" t="str">
        <f>INP_Assumptions!B83</f>
        <v>H&amp;M Campaigns - 2020  - RMBC residents</v>
      </c>
      <c r="C259" s="415">
        <f>HLOOKUP($E$9,INP_Assumptions!$C$79:$F$92,5,FALSE)</f>
        <v>0</v>
      </c>
      <c r="D259" s="870"/>
      <c r="E259" s="871"/>
      <c r="F259" s="871"/>
      <c r="G259" s="871"/>
      <c r="H259" s="872"/>
    </row>
    <row r="260" spans="1:8" x14ac:dyDescent="0.25">
      <c r="B260" s="243" t="str">
        <f>INP_Assumptions!B84</f>
        <v>H&amp;M Campaigns - 2021  -  SCC residents</v>
      </c>
      <c r="C260" s="415">
        <f>HLOOKUP($E$9,INP_Assumptions!$C$79:$F$92,6,FALSE)</f>
        <v>264000</v>
      </c>
      <c r="D260" s="870"/>
      <c r="E260" s="871"/>
      <c r="F260" s="871"/>
      <c r="G260" s="871"/>
      <c r="H260" s="872"/>
    </row>
    <row r="261" spans="1:8" x14ac:dyDescent="0.25">
      <c r="B261" s="243" t="str">
        <f>INP_Assumptions!B85</f>
        <v>H&amp;M Campaigns - 2021  -  RMBC residents</v>
      </c>
      <c r="C261" s="415">
        <f>HLOOKUP($E$9,INP_Assumptions!$C$79:$F$92,7,FALSE)</f>
        <v>0</v>
      </c>
      <c r="D261" s="870"/>
      <c r="E261" s="871"/>
      <c r="F261" s="871"/>
      <c r="G261" s="871"/>
      <c r="H261" s="872"/>
    </row>
    <row r="262" spans="1:8" ht="30" x14ac:dyDescent="0.25">
      <c r="B262" s="243" t="str">
        <f>INP_Assumptions!B86</f>
        <v>Targetting goods vehicle owners (to encourage upgrading) - pa</v>
      </c>
      <c r="C262" s="415">
        <f>HLOOKUP($E$9,INP_Assumptions!$C$79:$F$92,8,FALSE)</f>
        <v>40000</v>
      </c>
      <c r="D262" s="870"/>
      <c r="E262" s="871"/>
      <c r="F262" s="871"/>
      <c r="G262" s="871"/>
      <c r="H262" s="872"/>
    </row>
    <row r="263" spans="1:8" x14ac:dyDescent="0.25">
      <c r="B263" s="243" t="str">
        <f>INP_Assumptions!B87</f>
        <v>Stakeholder Engagement &amp; Public Consultation - OBC - SCC</v>
      </c>
      <c r="C263" s="415">
        <f>HLOOKUP($E$9,INP_Assumptions!$C$79:$F$92,9,FALSE)</f>
        <v>46000</v>
      </c>
      <c r="D263" s="870"/>
      <c r="E263" s="871"/>
      <c r="F263" s="871"/>
      <c r="G263" s="871"/>
      <c r="H263" s="872"/>
    </row>
    <row r="264" spans="1:8" x14ac:dyDescent="0.25">
      <c r="B264" s="243" t="str">
        <f>INP_Assumptions!B88</f>
        <v>Stakeholder Engagement &amp; Public Consultation - OBC -RMBC</v>
      </c>
      <c r="C264" s="415">
        <f>HLOOKUP($E$9,INP_Assumptions!$C$79:$F$92,10,FALSE)</f>
        <v>34500</v>
      </c>
      <c r="D264" s="870"/>
      <c r="E264" s="871"/>
      <c r="F264" s="871"/>
      <c r="G264" s="871"/>
      <c r="H264" s="872"/>
    </row>
    <row r="265" spans="1:8" x14ac:dyDescent="0.25">
      <c r="B265" s="243" t="str">
        <f>INP_Assumptions!B89</f>
        <v>Stakeholder Engagement &amp; Public Consultation - FBC -SCC</v>
      </c>
      <c r="C265" s="415">
        <f>HLOOKUP($E$9,INP_Assumptions!$C$79:$F$92,11,FALSE)</f>
        <v>0</v>
      </c>
      <c r="D265" s="870"/>
      <c r="E265" s="871"/>
      <c r="F265" s="871"/>
      <c r="G265" s="871"/>
      <c r="H265" s="872"/>
    </row>
    <row r="266" spans="1:8" x14ac:dyDescent="0.25">
      <c r="B266" s="243" t="str">
        <f>INP_Assumptions!B90</f>
        <v>Stakeholder Engagement &amp; Public Consultation - FBC -RMBC</v>
      </c>
      <c r="C266" s="415">
        <f>HLOOKUP($E$9,INP_Assumptions!$C$79:$F$92,12,FALSE)</f>
        <v>0</v>
      </c>
      <c r="D266" s="870"/>
      <c r="E266" s="871"/>
      <c r="F266" s="871"/>
      <c r="G266" s="871"/>
      <c r="H266" s="872"/>
    </row>
    <row r="267" spans="1:8" x14ac:dyDescent="0.25">
      <c r="B267" s="243" t="str">
        <f>INP_Assumptions!B91</f>
        <v>General Comms - OBC</v>
      </c>
      <c r="C267" s="415">
        <f>HLOOKUP($E$9,INP_Assumptions!$C$79:$F$92,13,FALSE)</f>
        <v>83400</v>
      </c>
      <c r="D267" s="870"/>
      <c r="E267" s="871"/>
      <c r="F267" s="871"/>
      <c r="G267" s="871"/>
      <c r="H267" s="872"/>
    </row>
    <row r="268" spans="1:8" x14ac:dyDescent="0.25">
      <c r="B268" s="243" t="str">
        <f>INP_Assumptions!B92</f>
        <v>General Comms - FBC (per annum)</v>
      </c>
      <c r="C268" s="415">
        <f>HLOOKUP($E$9,INP_Assumptions!$C$79:$F$92,14,FALSE)</f>
        <v>88700</v>
      </c>
      <c r="D268" s="870"/>
      <c r="E268" s="871"/>
      <c r="F268" s="871"/>
      <c r="G268" s="871"/>
      <c r="H268" s="872"/>
    </row>
    <row r="269" spans="1:8" x14ac:dyDescent="0.25">
      <c r="A269" s="21"/>
      <c r="D269" s="464"/>
      <c r="E269" s="464"/>
      <c r="F269" s="473"/>
      <c r="G269" s="473"/>
      <c r="H269" s="473"/>
    </row>
    <row r="270" spans="1:8" ht="30" x14ac:dyDescent="0.25">
      <c r="B270" s="243" t="s">
        <v>697</v>
      </c>
      <c r="C270" s="191">
        <f>C272*INP_Assumptions!C94</f>
        <v>60000</v>
      </c>
      <c r="D270" s="870"/>
      <c r="E270" s="871"/>
      <c r="F270" s="871"/>
      <c r="G270" s="871"/>
      <c r="H270" s="872"/>
    </row>
    <row r="271" spans="1:8" x14ac:dyDescent="0.25">
      <c r="D271" s="464"/>
      <c r="E271" s="464"/>
      <c r="F271" s="473"/>
      <c r="G271" s="473"/>
      <c r="H271" s="473"/>
    </row>
    <row r="272" spans="1:8" x14ac:dyDescent="0.25">
      <c r="B272" s="243" t="s">
        <v>99</v>
      </c>
      <c r="C272" s="425">
        <f>HLOOKUP($E$9,INP_Cordon_Assumptions!$C$83:$F$84,2,FALSE)</f>
        <v>1</v>
      </c>
      <c r="D272" s="870"/>
      <c r="E272" s="871"/>
      <c r="F272" s="871"/>
      <c r="G272" s="871"/>
      <c r="H272" s="872"/>
    </row>
    <row r="273" spans="1:8" x14ac:dyDescent="0.25">
      <c r="B273" s="42"/>
      <c r="C273" s="7"/>
    </row>
    <row r="274" spans="1:8" s="404" customFormat="1" x14ac:dyDescent="0.25">
      <c r="B274" s="423" t="s">
        <v>698</v>
      </c>
    </row>
    <row r="276" spans="1:8" x14ac:dyDescent="0.25">
      <c r="B276" s="243" t="s">
        <v>400</v>
      </c>
      <c r="C276" s="415">
        <f>INP_Assumptions!C98</f>
        <v>45000</v>
      </c>
      <c r="D276" s="870" t="s">
        <v>148</v>
      </c>
      <c r="E276" s="871"/>
      <c r="F276" s="871"/>
      <c r="G276" s="871"/>
      <c r="H276" s="872"/>
    </row>
    <row r="277" spans="1:8" x14ac:dyDescent="0.25">
      <c r="B277" s="243" t="s">
        <v>401</v>
      </c>
      <c r="C277" s="415">
        <f>INP_Assumptions!C99</f>
        <v>20000</v>
      </c>
      <c r="D277" s="870" t="s">
        <v>148</v>
      </c>
      <c r="E277" s="871"/>
      <c r="F277" s="871"/>
      <c r="G277" s="871"/>
      <c r="H277" s="872"/>
    </row>
    <row r="278" spans="1:8" x14ac:dyDescent="0.25">
      <c r="A278" s="21"/>
      <c r="B278" s="243" t="s">
        <v>69</v>
      </c>
      <c r="C278" s="415">
        <f>INP_Assumptions!C100</f>
        <v>17000</v>
      </c>
      <c r="D278" s="870" t="s">
        <v>74</v>
      </c>
      <c r="E278" s="871"/>
      <c r="F278" s="871"/>
      <c r="G278" s="871"/>
      <c r="H278" s="872"/>
    </row>
    <row r="279" spans="1:8" x14ac:dyDescent="0.25">
      <c r="B279" s="243" t="s">
        <v>500</v>
      </c>
      <c r="C279" s="415">
        <f>INP_Assumptions!C101</f>
        <v>8000</v>
      </c>
      <c r="D279" s="870" t="s">
        <v>74</v>
      </c>
      <c r="E279" s="871"/>
      <c r="F279" s="871"/>
      <c r="G279" s="871"/>
      <c r="H279" s="872"/>
    </row>
    <row r="280" spans="1:8" x14ac:dyDescent="0.25">
      <c r="B280" s="243" t="s">
        <v>100</v>
      </c>
      <c r="C280" s="415">
        <f>INP_Assumptions!C102</f>
        <v>15000</v>
      </c>
      <c r="D280" s="870" t="s">
        <v>75</v>
      </c>
      <c r="E280" s="871"/>
      <c r="F280" s="871"/>
      <c r="G280" s="871"/>
      <c r="H280" s="872"/>
    </row>
    <row r="281" spans="1:8" x14ac:dyDescent="0.25">
      <c r="B281" s="243" t="s">
        <v>101</v>
      </c>
      <c r="C281" s="415">
        <f>INP_Assumptions!C103</f>
        <v>7500</v>
      </c>
      <c r="D281" s="870" t="s">
        <v>75</v>
      </c>
      <c r="E281" s="871"/>
      <c r="F281" s="871"/>
      <c r="G281" s="871"/>
      <c r="H281" s="872"/>
    </row>
    <row r="282" spans="1:8" x14ac:dyDescent="0.25">
      <c r="B282" s="243" t="str">
        <f>INP_Assumptions!B104</f>
        <v>M&amp;E_Checking compliance with Rotherham schemes</v>
      </c>
      <c r="C282" s="415">
        <f>INP_Assumptions!C104</f>
        <v>20000</v>
      </c>
      <c r="D282" s="870" t="str">
        <f>INP_Assumptions!D104</f>
        <v>per annum</v>
      </c>
      <c r="E282" s="871"/>
      <c r="F282" s="871"/>
      <c r="G282" s="871"/>
      <c r="H282" s="872"/>
    </row>
    <row r="283" spans="1:8" x14ac:dyDescent="0.25">
      <c r="B283" s="243" t="s">
        <v>426</v>
      </c>
      <c r="C283" s="415">
        <f>INP_Assumptions!C105</f>
        <v>50000</v>
      </c>
      <c r="D283" s="870" t="s">
        <v>74</v>
      </c>
      <c r="E283" s="871"/>
      <c r="F283" s="871"/>
      <c r="G283" s="871"/>
      <c r="H283" s="872"/>
    </row>
    <row r="284" spans="1:8" x14ac:dyDescent="0.25">
      <c r="B284" s="243" t="s">
        <v>427</v>
      </c>
      <c r="C284" s="415">
        <f>INP_Assumptions!C106</f>
        <v>50000</v>
      </c>
      <c r="D284" s="870" t="s">
        <v>74</v>
      </c>
      <c r="E284" s="871"/>
      <c r="F284" s="871"/>
      <c r="G284" s="871"/>
      <c r="H284" s="872"/>
    </row>
    <row r="285" spans="1:8" x14ac:dyDescent="0.25">
      <c r="B285" s="243" t="s">
        <v>70</v>
      </c>
      <c r="C285" s="415">
        <f>INP_Assumptions!C107</f>
        <v>7500</v>
      </c>
      <c r="D285" s="870" t="s">
        <v>75</v>
      </c>
      <c r="E285" s="871"/>
      <c r="F285" s="871"/>
      <c r="G285" s="871"/>
      <c r="H285" s="872"/>
    </row>
    <row r="286" spans="1:8" x14ac:dyDescent="0.25">
      <c r="B286" s="243" t="s">
        <v>71</v>
      </c>
      <c r="C286" s="415">
        <f>INP_Assumptions!C108</f>
        <v>7500</v>
      </c>
      <c r="D286" s="870" t="s">
        <v>75</v>
      </c>
      <c r="E286" s="871"/>
      <c r="F286" s="871"/>
      <c r="G286" s="871"/>
      <c r="H286" s="872"/>
    </row>
    <row r="287" spans="1:8" x14ac:dyDescent="0.25">
      <c r="B287" s="243" t="s">
        <v>72</v>
      </c>
      <c r="C287" s="415">
        <f>INP_Assumptions!C109</f>
        <v>80000</v>
      </c>
      <c r="D287" s="870">
        <v>2021</v>
      </c>
      <c r="E287" s="871"/>
      <c r="F287" s="871"/>
      <c r="G287" s="871"/>
      <c r="H287" s="872"/>
    </row>
    <row r="288" spans="1:8" x14ac:dyDescent="0.25">
      <c r="B288" s="243" t="s">
        <v>73</v>
      </c>
      <c r="C288" s="415">
        <f>INP_Assumptions!C110</f>
        <v>80000</v>
      </c>
      <c r="D288" s="870">
        <v>2022</v>
      </c>
      <c r="E288" s="871"/>
      <c r="F288" s="871"/>
      <c r="G288" s="871"/>
      <c r="H288" s="872"/>
    </row>
    <row r="290" spans="1:8" s="404" customFormat="1" x14ac:dyDescent="0.25">
      <c r="B290" s="423" t="s">
        <v>340</v>
      </c>
    </row>
    <row r="292" spans="1:8" x14ac:dyDescent="0.25">
      <c r="A292" s="21"/>
    </row>
    <row r="293" spans="1:8" x14ac:dyDescent="0.25">
      <c r="A293" s="21"/>
      <c r="B293" s="243" t="str">
        <f>INP_Assumptions!B114</f>
        <v>Grant Management - EMF</v>
      </c>
      <c r="C293" s="415">
        <f>INP_Assumptions!C114</f>
        <v>3100</v>
      </c>
      <c r="D293" s="870"/>
      <c r="E293" s="871"/>
      <c r="F293" s="871"/>
      <c r="G293" s="871"/>
      <c r="H293" s="872"/>
    </row>
    <row r="294" spans="1:8" x14ac:dyDescent="0.25">
      <c r="A294" s="21"/>
      <c r="B294" s="40"/>
      <c r="C294" s="2"/>
    </row>
    <row r="295" spans="1:8" x14ac:dyDescent="0.25">
      <c r="A295" s="21"/>
      <c r="B295" s="243" t="s">
        <v>231</v>
      </c>
      <c r="C295" s="191">
        <f>(E127+E128+C183)*INP_Assumptions!$C$13</f>
        <v>188250</v>
      </c>
      <c r="D295" s="870"/>
      <c r="E295" s="871"/>
      <c r="F295" s="871"/>
      <c r="G295" s="871"/>
      <c r="H295" s="872"/>
    </row>
    <row r="296" spans="1:8" x14ac:dyDescent="0.25">
      <c r="A296" s="21"/>
      <c r="B296" s="243" t="s">
        <v>232</v>
      </c>
      <c r="C296" s="191">
        <f>(E129)*INP_Assumptions!$C$13</f>
        <v>5825</v>
      </c>
      <c r="D296" s="870"/>
      <c r="E296" s="871"/>
      <c r="F296" s="871"/>
      <c r="G296" s="871"/>
      <c r="H296" s="872"/>
    </row>
    <row r="297" spans="1:8" x14ac:dyDescent="0.25">
      <c r="C297"/>
      <c r="D297"/>
      <c r="E297"/>
    </row>
    <row r="298" spans="1:8" x14ac:dyDescent="0.25">
      <c r="A298" s="21"/>
      <c r="B298" s="59"/>
      <c r="C298" s="243" t="s">
        <v>622</v>
      </c>
      <c r="D298" s="243" t="s">
        <v>296</v>
      </c>
    </row>
    <row r="299" spans="1:8" x14ac:dyDescent="0.25">
      <c r="A299" s="21"/>
      <c r="B299" s="243" t="str">
        <f>INP_Assumptions!B117</f>
        <v>Programme Management &amp; Commercial Services - SCC</v>
      </c>
      <c r="C299" s="415">
        <f>HLOOKUP($E$9,INP_Assumptions!$C$116:$F$118,2,FALSE)</f>
        <v>1467000</v>
      </c>
      <c r="D299" s="433">
        <f>C299*INP_Assumptions!$C$16</f>
        <v>293400</v>
      </c>
      <c r="E299" s="869"/>
      <c r="F299" s="869"/>
      <c r="G299" s="869"/>
      <c r="H299" s="869"/>
    </row>
    <row r="300" spans="1:8" x14ac:dyDescent="0.25">
      <c r="A300" s="21"/>
      <c r="B300" s="243" t="str">
        <f>INP_Assumptions!B118</f>
        <v>Programme Management &amp; Commercial Services - RMBC</v>
      </c>
      <c r="C300" s="415">
        <f>HLOOKUP($E$9,INP_Assumptions!$C$116:$F$118,3,FALSE)</f>
        <v>220000</v>
      </c>
      <c r="D300" s="433">
        <f>C300*INP_Assumptions!$C$16</f>
        <v>44000</v>
      </c>
      <c r="E300" s="869"/>
      <c r="F300" s="869"/>
      <c r="G300" s="869"/>
      <c r="H300" s="869"/>
    </row>
    <row r="301" spans="1:8" x14ac:dyDescent="0.25">
      <c r="A301" s="21"/>
      <c r="B301" s="40"/>
      <c r="C301" s="2"/>
    </row>
    <row r="302" spans="1:8" x14ac:dyDescent="0.25">
      <c r="A302" s="21"/>
      <c r="B302" s="40"/>
      <c r="C302" s="243" t="s">
        <v>622</v>
      </c>
      <c r="D302" s="243" t="s">
        <v>296</v>
      </c>
    </row>
    <row r="303" spans="1:8" x14ac:dyDescent="0.25">
      <c r="A303" s="21"/>
      <c r="B303" s="243" t="s">
        <v>134</v>
      </c>
      <c r="C303" s="191">
        <f>C122</f>
        <v>71145360</v>
      </c>
      <c r="D303" s="191">
        <f>C124</f>
        <v>9430150.400000006</v>
      </c>
      <c r="E303" s="782">
        <f>+D303/C303</f>
        <v>0.13254765173723215</v>
      </c>
    </row>
    <row r="304" spans="1:8" x14ac:dyDescent="0.25">
      <c r="A304" s="21"/>
      <c r="B304" s="455" t="s">
        <v>827</v>
      </c>
      <c r="C304" s="781">
        <f>C303*CALC_Int_on_loan_Taxis!$AL$4</f>
        <v>12450438.000000004</v>
      </c>
      <c r="D304" s="781">
        <f>D303*CALC_Int_on_loan_Taxis!$AL$4</f>
        <v>1650276.3200000015</v>
      </c>
      <c r="E304" s="868">
        <f>D304/C304</f>
        <v>0.13254765173723213</v>
      </c>
      <c r="F304" s="868"/>
      <c r="G304" s="868"/>
      <c r="H304" s="868"/>
    </row>
    <row r="305" spans="2:8" x14ac:dyDescent="0.25">
      <c r="C305"/>
      <c r="D305"/>
      <c r="E305"/>
    </row>
    <row r="306" spans="2:8" x14ac:dyDescent="0.25">
      <c r="B306" s="243" t="s">
        <v>131</v>
      </c>
      <c r="C306" s="191">
        <f>D71</f>
        <v>0</v>
      </c>
      <c r="D306" s="191">
        <f>$D$72</f>
        <v>0</v>
      </c>
      <c r="E306" s="869"/>
      <c r="F306" s="869"/>
      <c r="G306" s="869"/>
      <c r="H306" s="869"/>
    </row>
    <row r="307" spans="2:8" x14ac:dyDescent="0.25">
      <c r="B307" s="243" t="s">
        <v>288</v>
      </c>
      <c r="C307" s="191">
        <f>C159</f>
        <v>1302000</v>
      </c>
      <c r="D307" s="191">
        <f>C160</f>
        <v>651000</v>
      </c>
      <c r="E307" s="869"/>
      <c r="F307" s="869"/>
      <c r="G307" s="869"/>
      <c r="H307" s="869"/>
    </row>
    <row r="308" spans="2:8" x14ac:dyDescent="0.25">
      <c r="B308" s="243" t="s">
        <v>135</v>
      </c>
      <c r="C308" s="191">
        <f>C170</f>
        <v>36490000</v>
      </c>
      <c r="D308" s="191">
        <f>C171</f>
        <v>7298000</v>
      </c>
      <c r="E308" s="869"/>
      <c r="F308" s="869"/>
      <c r="G308" s="869"/>
      <c r="H308" s="869"/>
    </row>
    <row r="309" spans="2:8" x14ac:dyDescent="0.25">
      <c r="B309" s="243" t="s">
        <v>136</v>
      </c>
      <c r="C309" s="191">
        <f>C198</f>
        <v>14120000</v>
      </c>
      <c r="D309" s="191">
        <f>C199</f>
        <v>2824000</v>
      </c>
      <c r="E309" s="869"/>
      <c r="F309" s="869"/>
      <c r="G309" s="869"/>
      <c r="H309" s="869"/>
    </row>
    <row r="310" spans="2:8" x14ac:dyDescent="0.25">
      <c r="B310" s="455" t="s">
        <v>857</v>
      </c>
      <c r="C310" s="781">
        <f>SUM(C306:C309)</f>
        <v>51912000</v>
      </c>
      <c r="D310" s="781">
        <f>SUM(D306:D309)</f>
        <v>10773000</v>
      </c>
      <c r="E310" s="868">
        <f>D310/C310</f>
        <v>0.20752427184466019</v>
      </c>
      <c r="F310" s="868"/>
      <c r="G310" s="868"/>
      <c r="H310" s="868"/>
    </row>
    <row r="311" spans="2:8" x14ac:dyDescent="0.25">
      <c r="B311" s="455" t="s">
        <v>522</v>
      </c>
      <c r="C311" s="781">
        <f>C310*CALC_Int_on_loan_Other!$AM$4</f>
        <v>9084600.0000000019</v>
      </c>
      <c r="D311" s="781">
        <f>D310*CALC_Int_on_loan_Other!$AM$4</f>
        <v>1885275.0000000005</v>
      </c>
      <c r="E311" s="869"/>
      <c r="F311" s="869"/>
      <c r="G311" s="869"/>
      <c r="H311" s="869"/>
    </row>
    <row r="312" spans="2:8" x14ac:dyDescent="0.25">
      <c r="C312"/>
      <c r="D312"/>
      <c r="E312"/>
    </row>
    <row r="313" spans="2:8" x14ac:dyDescent="0.25">
      <c r="B313" s="455" t="s">
        <v>858</v>
      </c>
      <c r="C313" s="781">
        <f>+C303+C310</f>
        <v>123057360</v>
      </c>
      <c r="D313" s="781">
        <f>+D303+D310</f>
        <v>20203150.400000006</v>
      </c>
      <c r="E313" s="868"/>
      <c r="F313" s="868"/>
      <c r="G313" s="868"/>
      <c r="H313" s="868"/>
    </row>
    <row r="314" spans="2:8" x14ac:dyDescent="0.25">
      <c r="B314" s="455" t="s">
        <v>859</v>
      </c>
      <c r="C314" s="781">
        <f>+C311+C304</f>
        <v>21535038.000000007</v>
      </c>
      <c r="D314" s="781">
        <f>+D311+D304</f>
        <v>3535551.3200000022</v>
      </c>
      <c r="E314" s="868"/>
      <c r="F314" s="868"/>
      <c r="G314" s="868"/>
      <c r="H314" s="868"/>
    </row>
  </sheetData>
  <mergeCells count="201">
    <mergeCell ref="D15:H15"/>
    <mergeCell ref="D17:H17"/>
    <mergeCell ref="D18:H18"/>
    <mergeCell ref="D19:H19"/>
    <mergeCell ref="D20:H20"/>
    <mergeCell ref="D21:H21"/>
    <mergeCell ref="B2:D3"/>
    <mergeCell ref="F9:H9"/>
    <mergeCell ref="D11:H11"/>
    <mergeCell ref="D12:H12"/>
    <mergeCell ref="D13:H13"/>
    <mergeCell ref="D14:H14"/>
    <mergeCell ref="D29:H29"/>
    <mergeCell ref="D31:H31"/>
    <mergeCell ref="D32:H32"/>
    <mergeCell ref="D35:H35"/>
    <mergeCell ref="D36:H36"/>
    <mergeCell ref="D37:H37"/>
    <mergeCell ref="D22:H22"/>
    <mergeCell ref="D23:H23"/>
    <mergeCell ref="D24:H24"/>
    <mergeCell ref="D25:H25"/>
    <mergeCell ref="D26:H26"/>
    <mergeCell ref="D28:H28"/>
    <mergeCell ref="D47:H47"/>
    <mergeCell ref="D48:H48"/>
    <mergeCell ref="D49:H49"/>
    <mergeCell ref="D53:H53"/>
    <mergeCell ref="D54:H54"/>
    <mergeCell ref="D55:H55"/>
    <mergeCell ref="D38:H38"/>
    <mergeCell ref="D39:H39"/>
    <mergeCell ref="D40:H40"/>
    <mergeCell ref="D44:H44"/>
    <mergeCell ref="D45:H45"/>
    <mergeCell ref="D46:H46"/>
    <mergeCell ref="E65:H65"/>
    <mergeCell ref="E68:H68"/>
    <mergeCell ref="E69:H69"/>
    <mergeCell ref="E70:H70"/>
    <mergeCell ref="E71:H71"/>
    <mergeCell ref="E72:H72"/>
    <mergeCell ref="D57:H57"/>
    <mergeCell ref="D58:H58"/>
    <mergeCell ref="D59:H59"/>
    <mergeCell ref="E62:H62"/>
    <mergeCell ref="E63:H63"/>
    <mergeCell ref="E64:H64"/>
    <mergeCell ref="D84:H84"/>
    <mergeCell ref="D86:H86"/>
    <mergeCell ref="D87:H87"/>
    <mergeCell ref="D101:H101"/>
    <mergeCell ref="D88:H88"/>
    <mergeCell ref="E91:H91"/>
    <mergeCell ref="D74:H74"/>
    <mergeCell ref="D76:H76"/>
    <mergeCell ref="D77:H77"/>
    <mergeCell ref="D78:H78"/>
    <mergeCell ref="D79:H79"/>
    <mergeCell ref="D80:H80"/>
    <mergeCell ref="E98:H98"/>
    <mergeCell ref="D99:H99"/>
    <mergeCell ref="D102:H102"/>
    <mergeCell ref="E111:H111"/>
    <mergeCell ref="E112:H112"/>
    <mergeCell ref="E92:H92"/>
    <mergeCell ref="E93:H93"/>
    <mergeCell ref="E94:H94"/>
    <mergeCell ref="E95:H95"/>
    <mergeCell ref="E96:H96"/>
    <mergeCell ref="E97:H97"/>
    <mergeCell ref="D104:H104"/>
    <mergeCell ref="D105:H105"/>
    <mergeCell ref="D106:H106"/>
    <mergeCell ref="D107:H107"/>
    <mergeCell ref="D108:H108"/>
    <mergeCell ref="F129:H129"/>
    <mergeCell ref="D131:H131"/>
    <mergeCell ref="D132:H132"/>
    <mergeCell ref="D138:H138"/>
    <mergeCell ref="E119:H119"/>
    <mergeCell ref="D124:H124"/>
    <mergeCell ref="D123:H123"/>
    <mergeCell ref="E113:H113"/>
    <mergeCell ref="E114:H114"/>
    <mergeCell ref="E115:H115"/>
    <mergeCell ref="E116:H116"/>
    <mergeCell ref="E117:H117"/>
    <mergeCell ref="E118:H118"/>
    <mergeCell ref="G147:H147"/>
    <mergeCell ref="G150:H150"/>
    <mergeCell ref="G151:H151"/>
    <mergeCell ref="G152:H152"/>
    <mergeCell ref="D154:H154"/>
    <mergeCell ref="D155:H155"/>
    <mergeCell ref="D139:H139"/>
    <mergeCell ref="D140:H140"/>
    <mergeCell ref="D142:H142"/>
    <mergeCell ref="D168:H168"/>
    <mergeCell ref="D169:H169"/>
    <mergeCell ref="D170:H170"/>
    <mergeCell ref="D171:H171"/>
    <mergeCell ref="D173:H173"/>
    <mergeCell ref="D174:H174"/>
    <mergeCell ref="E158:H158"/>
    <mergeCell ref="E159:H159"/>
    <mergeCell ref="E160:H160"/>
    <mergeCell ref="D162:H162"/>
    <mergeCell ref="D166:H166"/>
    <mergeCell ref="D167:H167"/>
    <mergeCell ref="E190:H190"/>
    <mergeCell ref="E191:H191"/>
    <mergeCell ref="E192:H192"/>
    <mergeCell ref="E193:H193"/>
    <mergeCell ref="E194:H194"/>
    <mergeCell ref="E195:H195"/>
    <mergeCell ref="D175:H175"/>
    <mergeCell ref="G178:H178"/>
    <mergeCell ref="G179:H179"/>
    <mergeCell ref="D181:H181"/>
    <mergeCell ref="D182:H182"/>
    <mergeCell ref="D183:H183"/>
    <mergeCell ref="E204:H204"/>
    <mergeCell ref="E205:H205"/>
    <mergeCell ref="E206:H206"/>
    <mergeCell ref="E207:H207"/>
    <mergeCell ref="E208:H208"/>
    <mergeCell ref="D200:H200"/>
    <mergeCell ref="D197:H197"/>
    <mergeCell ref="D198:H198"/>
    <mergeCell ref="D199:H199"/>
    <mergeCell ref="E222:H222"/>
    <mergeCell ref="E223:H223"/>
    <mergeCell ref="E224:H224"/>
    <mergeCell ref="E225:H225"/>
    <mergeCell ref="D228:H228"/>
    <mergeCell ref="D227:H227"/>
    <mergeCell ref="G211:H211"/>
    <mergeCell ref="G212:H212"/>
    <mergeCell ref="E218:H218"/>
    <mergeCell ref="E219:H219"/>
    <mergeCell ref="E220:H220"/>
    <mergeCell ref="E221:H221"/>
    <mergeCell ref="D238:H238"/>
    <mergeCell ref="D239:H239"/>
    <mergeCell ref="D241:H241"/>
    <mergeCell ref="D242:H242"/>
    <mergeCell ref="D243:H243"/>
    <mergeCell ref="D244:H244"/>
    <mergeCell ref="D232:H232"/>
    <mergeCell ref="D233:H233"/>
    <mergeCell ref="D234:H234"/>
    <mergeCell ref="D235:H235"/>
    <mergeCell ref="D236:H236"/>
    <mergeCell ref="D237:H237"/>
    <mergeCell ref="D258:H258"/>
    <mergeCell ref="D259:H259"/>
    <mergeCell ref="D260:H260"/>
    <mergeCell ref="D261:H261"/>
    <mergeCell ref="D262:H262"/>
    <mergeCell ref="D263:H263"/>
    <mergeCell ref="D245:H245"/>
    <mergeCell ref="D249:H249"/>
    <mergeCell ref="D253:H253"/>
    <mergeCell ref="D254:H254"/>
    <mergeCell ref="D256:H256"/>
    <mergeCell ref="D257:H257"/>
    <mergeCell ref="D272:H272"/>
    <mergeCell ref="D276:H276"/>
    <mergeCell ref="D277:H277"/>
    <mergeCell ref="D278:H278"/>
    <mergeCell ref="D279:H279"/>
    <mergeCell ref="D280:H280"/>
    <mergeCell ref="D264:H264"/>
    <mergeCell ref="D265:H265"/>
    <mergeCell ref="D266:H266"/>
    <mergeCell ref="D267:H267"/>
    <mergeCell ref="D268:H268"/>
    <mergeCell ref="D270:H270"/>
    <mergeCell ref="D287:H287"/>
    <mergeCell ref="D288:H288"/>
    <mergeCell ref="D293:H293"/>
    <mergeCell ref="D295:H295"/>
    <mergeCell ref="D296:H296"/>
    <mergeCell ref="E299:H299"/>
    <mergeCell ref="E304:H304"/>
    <mergeCell ref="D281:H281"/>
    <mergeCell ref="D282:H282"/>
    <mergeCell ref="D283:H283"/>
    <mergeCell ref="D284:H284"/>
    <mergeCell ref="D285:H285"/>
    <mergeCell ref="D286:H286"/>
    <mergeCell ref="E313:H313"/>
    <mergeCell ref="E314:H314"/>
    <mergeCell ref="E309:H309"/>
    <mergeCell ref="E310:H310"/>
    <mergeCell ref="E311:H311"/>
    <mergeCell ref="E300:H300"/>
    <mergeCell ref="E306:H306"/>
    <mergeCell ref="E307:H307"/>
    <mergeCell ref="E308:H308"/>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Map</vt:lpstr>
      <vt:lpstr>Changes</vt:lpstr>
      <vt:lpstr>Quality_Assurance</vt:lpstr>
      <vt:lpstr>INP_Fleet_Assumptions</vt:lpstr>
      <vt:lpstr>PRO_Fleet_Assumptions</vt:lpstr>
      <vt:lpstr>INP_T_Model_inputs</vt:lpstr>
      <vt:lpstr>INP_Aggegation_Categories</vt:lpstr>
      <vt:lpstr>CALC_Current_option</vt:lpstr>
      <vt:lpstr>INP_Cordon_Assumptions</vt:lpstr>
      <vt:lpstr>INP_Assumptions</vt:lpstr>
      <vt:lpstr>CALC_Funding</vt:lpstr>
      <vt:lpstr>CALC_Int_on_loan_Taxis</vt:lpstr>
      <vt:lpstr>CALC_Int_on_loan_Other</vt:lpstr>
      <vt:lpstr>OUT_Cost_Summary</vt:lpstr>
      <vt:lpstr>OUT_FinCase_Summary</vt:lpstr>
      <vt:lpstr>Measures_cost_detail</vt:lpstr>
      <vt:lpstr>Loans&amp;Incentives</vt:lpstr>
      <vt:lpstr>CAZ_Scenario_Differences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Connolly</dc:creator>
  <cp:lastModifiedBy>Wilby Jane (CEX)</cp:lastModifiedBy>
  <cp:lastPrinted>2019-06-07T13:54:13Z</cp:lastPrinted>
  <dcterms:created xsi:type="dcterms:W3CDTF">2018-11-19T07:55:56Z</dcterms:created>
  <dcterms:modified xsi:type="dcterms:W3CDTF">2019-06-14T18:09:58Z</dcterms:modified>
</cp:coreProperties>
</file>